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SA\CFs\Maraskan\"/>
    </mc:Choice>
  </mc:AlternateContent>
  <xr:revisionPtr revIDLastSave="0" documentId="13_ncr:1_{D867A40D-ECF0-4B46-AC8F-847BB3E65E15}" xr6:coauthVersionLast="47" xr6:coauthVersionMax="47" xr10:uidLastSave="{00000000-0000-0000-0000-000000000000}"/>
  <bookViews>
    <workbookView xWindow="38280" yWindow="-120" windowWidth="38640" windowHeight="21390" tabRatio="482" xr2:uid="{3C0DC3EB-12BA-4DE2-BE53-BC5B92B614A4}"/>
  </bookViews>
  <sheets>
    <sheet name="Übersicht &amp; Anleitung" sheetId="4" r:id="rId1"/>
    <sheet name="Einkaufsführer" sheetId="1" r:id="rId2"/>
    <sheet name="Changelog &amp; Videos" sheetId="11" r:id="rId3"/>
    <sheet name="Vergleich" sheetId="2" state="hidden" r:id="rId4"/>
  </sheets>
  <definedNames>
    <definedName name="_xlnm.Print_Area" localSheetId="2">'Changelog &amp; Videos'!$A$1:$D$26</definedName>
    <definedName name="_xlnm.Print_Area" localSheetId="1">Einkaufsführer!$A$1:$X$197</definedName>
    <definedName name="_xlnm.Print_Area" localSheetId="0">'Übersicht &amp; Anleitung'!$A$1:$AI$120</definedName>
    <definedName name="_xlnm.Print_Titles" localSheetId="1">Einkaufsführer!$1:$6</definedName>
    <definedName name="_xlnm.Print_Titles" localSheetId="0">'Übersicht &amp; Anleitung'!$1:$52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0" i="4" l="1"/>
  <c r="AI8" i="4"/>
  <c r="AZ77" i="4"/>
  <c r="BA77" i="4"/>
  <c r="BC77" i="4"/>
  <c r="BD77" i="4"/>
  <c r="BE77" i="4"/>
  <c r="BF77" i="4"/>
  <c r="BH77" i="4"/>
  <c r="AZ76" i="4"/>
  <c r="BA76" i="4"/>
  <c r="BB77" i="4" s="1"/>
  <c r="BC76" i="4"/>
  <c r="BE76" i="4"/>
  <c r="BF76" i="4"/>
  <c r="BG77" i="4" s="1"/>
  <c r="BG76" i="4"/>
  <c r="BH76" i="4"/>
  <c r="AZ75" i="4"/>
  <c r="BD76" i="4" s="1"/>
  <c r="BA75" i="4"/>
  <c r="BB76" i="4" s="1"/>
  <c r="BB75" i="4"/>
  <c r="BC75" i="4"/>
  <c r="BD75" i="4"/>
  <c r="BE75" i="4"/>
  <c r="BH75" i="4" s="1"/>
  <c r="BF75" i="4"/>
  <c r="AZ73" i="4"/>
  <c r="BA73" i="4"/>
  <c r="BC73" i="4"/>
  <c r="BE73" i="4"/>
  <c r="BF73" i="4"/>
  <c r="BH73" i="4"/>
  <c r="AZ74" i="4"/>
  <c r="BA74" i="4"/>
  <c r="BB74" i="4"/>
  <c r="BC74" i="4"/>
  <c r="BD74" i="4"/>
  <c r="BE74" i="4"/>
  <c r="BF74" i="4"/>
  <c r="BG74" i="4"/>
  <c r="AZ70" i="4"/>
  <c r="BA70" i="4"/>
  <c r="BC70" i="4"/>
  <c r="BE70" i="4"/>
  <c r="BF70" i="4"/>
  <c r="AZ71" i="4"/>
  <c r="BA71" i="4"/>
  <c r="BE71" i="4"/>
  <c r="BF71" i="4"/>
  <c r="AZ72" i="4"/>
  <c r="BA72" i="4"/>
  <c r="BB72" i="4" s="1"/>
  <c r="BE72" i="4"/>
  <c r="BF72" i="4"/>
  <c r="BG73" i="4" s="1"/>
  <c r="AZ67" i="4"/>
  <c r="BA67" i="4"/>
  <c r="BC67" i="4"/>
  <c r="BE67" i="4"/>
  <c r="BF67" i="4"/>
  <c r="AZ68" i="4"/>
  <c r="BA68" i="4"/>
  <c r="BE68" i="4"/>
  <c r="BF68" i="4"/>
  <c r="AZ69" i="4"/>
  <c r="BD69" i="4" s="1"/>
  <c r="BA69" i="4"/>
  <c r="BB69" i="4"/>
  <c r="BE69" i="4"/>
  <c r="BF69" i="4"/>
  <c r="AZ65" i="4"/>
  <c r="BA65" i="4"/>
  <c r="BC65" i="4"/>
  <c r="BE65" i="4"/>
  <c r="BF65" i="4"/>
  <c r="AZ66" i="4"/>
  <c r="BD67" i="4" s="1"/>
  <c r="BA66" i="4"/>
  <c r="BB67" i="4" s="1"/>
  <c r="BE66" i="4"/>
  <c r="BF66" i="4"/>
  <c r="BE64" i="4"/>
  <c r="BF64" i="4"/>
  <c r="AZ64" i="4"/>
  <c r="BD65" i="4" s="1"/>
  <c r="BA64" i="4"/>
  <c r="BE62" i="4"/>
  <c r="BF62" i="4"/>
  <c r="BE63" i="4"/>
  <c r="BF63" i="4"/>
  <c r="AZ63" i="4"/>
  <c r="BA63" i="4"/>
  <c r="AZ62" i="4"/>
  <c r="BA62" i="4"/>
  <c r="AA18" i="1"/>
  <c r="AB18" i="1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DW10" i="2"/>
  <c r="DV10" i="2"/>
  <c r="DW30" i="2"/>
  <c r="DV30" i="2"/>
  <c r="FG30" i="2" s="1"/>
  <c r="DW29" i="2"/>
  <c r="DV29" i="2"/>
  <c r="DW28" i="2"/>
  <c r="DV28" i="2"/>
  <c r="DW27" i="2"/>
  <c r="DV27" i="2"/>
  <c r="DW26" i="2"/>
  <c r="DV26" i="2"/>
  <c r="FG26" i="2" s="1"/>
  <c r="DW25" i="2"/>
  <c r="DV25" i="2"/>
  <c r="DW24" i="2"/>
  <c r="DV24" i="2"/>
  <c r="DW23" i="2"/>
  <c r="DV23" i="2"/>
  <c r="DW22" i="2"/>
  <c r="DV22" i="2"/>
  <c r="DW21" i="2"/>
  <c r="DV21" i="2"/>
  <c r="DW20" i="2"/>
  <c r="DV20" i="2"/>
  <c r="FG20" i="2" s="1"/>
  <c r="DW19" i="2"/>
  <c r="DV19" i="2"/>
  <c r="FG19" i="2" s="1"/>
  <c r="DW18" i="2"/>
  <c r="DV18" i="2"/>
  <c r="DW17" i="2"/>
  <c r="DV17" i="2"/>
  <c r="DW16" i="2"/>
  <c r="DV16" i="2"/>
  <c r="DW15" i="2"/>
  <c r="DV15" i="2"/>
  <c r="DW14" i="2"/>
  <c r="DV14" i="2"/>
  <c r="DW13" i="2"/>
  <c r="DV13" i="2"/>
  <c r="DW12" i="2"/>
  <c r="DV12" i="2"/>
  <c r="DW11" i="2"/>
  <c r="DV11" i="2"/>
  <c r="BD14" i="2"/>
  <c r="BE14" i="2"/>
  <c r="BJ61" i="4"/>
  <c r="BK61" i="4" s="1"/>
  <c r="BL61" i="4"/>
  <c r="BP61" i="4" s="1"/>
  <c r="BQ61" i="4" s="1"/>
  <c r="BN61" i="4"/>
  <c r="BO61" i="4" s="1"/>
  <c r="AZ61" i="4"/>
  <c r="BA61" i="4"/>
  <c r="BE61" i="4"/>
  <c r="BF61" i="4"/>
  <c r="P167" i="1"/>
  <c r="O167" i="1"/>
  <c r="M167" i="1"/>
  <c r="L167" i="1"/>
  <c r="K167" i="1"/>
  <c r="J167" i="1"/>
  <c r="M162" i="1"/>
  <c r="M161" i="1"/>
  <c r="S165" i="1"/>
  <c r="S164" i="1"/>
  <c r="P166" i="1"/>
  <c r="P165" i="1"/>
  <c r="P164" i="1"/>
  <c r="V167" i="1"/>
  <c r="AA167" i="1" s="1"/>
  <c r="V166" i="1"/>
  <c r="V165" i="1"/>
  <c r="V164" i="1"/>
  <c r="U168" i="1"/>
  <c r="V168" i="1" s="1"/>
  <c r="AB167" i="1"/>
  <c r="V56" i="1"/>
  <c r="V55" i="1"/>
  <c r="AB55" i="1" s="1"/>
  <c r="V54" i="1"/>
  <c r="AB54" i="1" s="1"/>
  <c r="AB56" i="1"/>
  <c r="P7" i="1"/>
  <c r="O7" i="1"/>
  <c r="M7" i="1"/>
  <c r="K7" i="1"/>
  <c r="BH34" i="2"/>
  <c r="BG34" i="2"/>
  <c r="BB70" i="4" l="1"/>
  <c r="BC68" i="4"/>
  <c r="BH66" i="4"/>
  <c r="BB64" i="4"/>
  <c r="BD68" i="4"/>
  <c r="BB65" i="4"/>
  <c r="BB71" i="4"/>
  <c r="BH74" i="4"/>
  <c r="BG65" i="4"/>
  <c r="BC69" i="4"/>
  <c r="BG75" i="4"/>
  <c r="FG12" i="2"/>
  <c r="DW47" i="2"/>
  <c r="DV38" i="2"/>
  <c r="DV48" i="2"/>
  <c r="BC71" i="4"/>
  <c r="BC72" i="4"/>
  <c r="BD70" i="4"/>
  <c r="BM61" i="4"/>
  <c r="BD73" i="4"/>
  <c r="BB73" i="4"/>
  <c r="BD72" i="4"/>
  <c r="BD66" i="4"/>
  <c r="BD71" i="4"/>
  <c r="BG66" i="4"/>
  <c r="BB68" i="4"/>
  <c r="BH65" i="4"/>
  <c r="DW39" i="2"/>
  <c r="DW49" i="2"/>
  <c r="BB66" i="4"/>
  <c r="BH61" i="4"/>
  <c r="DV43" i="2"/>
  <c r="DW43" i="2"/>
  <c r="DV47" i="2"/>
  <c r="DW41" i="2"/>
  <c r="FG17" i="2"/>
  <c r="FG27" i="2"/>
  <c r="DW38" i="2"/>
  <c r="DW48" i="2"/>
  <c r="DV39" i="2"/>
  <c r="DV49" i="2"/>
  <c r="BC66" i="4"/>
  <c r="FG15" i="2"/>
  <c r="DW51" i="2"/>
  <c r="DV53" i="2"/>
  <c r="DV54" i="2"/>
  <c r="DW54" i="2"/>
  <c r="FG13" i="2"/>
  <c r="FG14" i="2"/>
  <c r="FG11" i="2"/>
  <c r="FG21" i="2"/>
  <c r="FG29" i="2"/>
  <c r="FG28" i="2"/>
  <c r="DV41" i="2"/>
  <c r="FG16" i="2"/>
  <c r="DV40" i="2"/>
  <c r="DV50" i="2"/>
  <c r="DW40" i="2"/>
  <c r="FG22" i="2"/>
  <c r="FG23" i="2"/>
  <c r="DV52" i="2"/>
  <c r="FG24" i="2"/>
  <c r="DW52" i="2"/>
  <c r="FG25" i="2"/>
  <c r="FG18" i="2"/>
  <c r="DW42" i="2"/>
  <c r="DW53" i="2"/>
  <c r="DW45" i="2"/>
  <c r="DV44" i="2"/>
  <c r="DV36" i="2"/>
  <c r="DV46" i="2"/>
  <c r="DV42" i="2"/>
  <c r="DW36" i="2"/>
  <c r="DW46" i="2"/>
  <c r="DW37" i="2"/>
  <c r="DV51" i="2"/>
  <c r="DW50" i="2"/>
  <c r="DW44" i="2"/>
  <c r="DV45" i="2"/>
  <c r="DV31" i="2"/>
  <c r="DV37" i="2"/>
  <c r="DW31" i="2"/>
  <c r="BC61" i="4"/>
  <c r="FG32" i="2" l="1"/>
  <c r="DW56" i="2"/>
  <c r="DV56" i="2"/>
  <c r="DW55" i="2"/>
  <c r="DV55" i="2"/>
  <c r="T87" i="4"/>
  <c r="BF4" i="2"/>
  <c r="BE4" i="2"/>
  <c r="BD4" i="2"/>
  <c r="BC204" i="2"/>
  <c r="BB204" i="2"/>
  <c r="BA204" i="2"/>
  <c r="BC198" i="2"/>
  <c r="BB198" i="2"/>
  <c r="BA198" i="2"/>
  <c r="BC193" i="2"/>
  <c r="BB193" i="2"/>
  <c r="BA193" i="2"/>
  <c r="BC188" i="2"/>
  <c r="BB188" i="2"/>
  <c r="BA188" i="2"/>
  <c r="BC183" i="2"/>
  <c r="BB183" i="2"/>
  <c r="BA183" i="2"/>
  <c r="BC178" i="2"/>
  <c r="BB178" i="2"/>
  <c r="BA178" i="2"/>
  <c r="BC173" i="2"/>
  <c r="BB173" i="2"/>
  <c r="BA173" i="2"/>
  <c r="BC168" i="2"/>
  <c r="BB168" i="2"/>
  <c r="BA168" i="2"/>
  <c r="BC137" i="2"/>
  <c r="BB137" i="2"/>
  <c r="BA137" i="2"/>
  <c r="BC114" i="2"/>
  <c r="BB114" i="2"/>
  <c r="BA114" i="2"/>
  <c r="BC82" i="2"/>
  <c r="BB82" i="2"/>
  <c r="BA82" i="2"/>
  <c r="BC58" i="2"/>
  <c r="BB58" i="2"/>
  <c r="BA58" i="2"/>
  <c r="BC33" i="2"/>
  <c r="BB33" i="2"/>
  <c r="BA33" i="2"/>
  <c r="BC4" i="2"/>
  <c r="BB4" i="2"/>
  <c r="BA4" i="2"/>
  <c r="AB24" i="1"/>
  <c r="AA24" i="1"/>
  <c r="AB52" i="1"/>
  <c r="AA52" i="1"/>
  <c r="AB40" i="1"/>
  <c r="AA40" i="1"/>
  <c r="AB25" i="1"/>
  <c r="AA25" i="1"/>
  <c r="AB170" i="1"/>
  <c r="AB53" i="1" l="1"/>
  <c r="AA53" i="1"/>
  <c r="AB39" i="1"/>
  <c r="AA39" i="1"/>
  <c r="AB11" i="1"/>
  <c r="AA11" i="1"/>
  <c r="AB9" i="1"/>
  <c r="AA9" i="1"/>
  <c r="AB30" i="1"/>
  <c r="AA30" i="1"/>
  <c r="AB51" i="1" l="1"/>
  <c r="AA51" i="1"/>
  <c r="AA33" i="1" l="1"/>
  <c r="AB33" i="1"/>
  <c r="I92" i="4"/>
  <c r="BD13" i="2" l="1"/>
  <c r="BE13" i="2"/>
  <c r="BE60" i="4"/>
  <c r="K60" i="4" s="1"/>
  <c r="BF60" i="4"/>
  <c r="AT60" i="4"/>
  <c r="AV11" i="4" s="1"/>
  <c r="AU60" i="4"/>
  <c r="AW60" i="4"/>
  <c r="BA60" i="4"/>
  <c r="I60" i="4"/>
  <c r="AZ60" i="4"/>
  <c r="BD61" i="4" s="1"/>
  <c r="O166" i="1"/>
  <c r="M166" i="1"/>
  <c r="L166" i="1"/>
  <c r="K166" i="1"/>
  <c r="J166" i="1"/>
  <c r="R165" i="1"/>
  <c r="O165" i="1"/>
  <c r="L165" i="1"/>
  <c r="K165" i="1"/>
  <c r="J165" i="1"/>
  <c r="L164" i="1"/>
  <c r="K164" i="1"/>
  <c r="J164" i="1"/>
  <c r="L163" i="1"/>
  <c r="K163" i="1"/>
  <c r="J163" i="1"/>
  <c r="L162" i="1"/>
  <c r="K162" i="1"/>
  <c r="J162" i="1"/>
  <c r="L161" i="1"/>
  <c r="K161" i="1"/>
  <c r="J161" i="1"/>
  <c r="J160" i="1"/>
  <c r="AU11" i="4" l="1"/>
  <c r="AW11" i="4" s="1"/>
  <c r="BH60" i="4"/>
  <c r="J92" i="4"/>
  <c r="BB61" i="4"/>
  <c r="K92" i="4"/>
  <c r="BG61" i="4"/>
  <c r="BD118" i="2"/>
  <c r="BE118" i="2"/>
  <c r="AX60" i="4"/>
  <c r="BC60" i="4"/>
  <c r="J60" i="4"/>
  <c r="AB50" i="1"/>
  <c r="AA50" i="1"/>
  <c r="DU30" i="2"/>
  <c r="DT30" i="2"/>
  <c r="DU29" i="2"/>
  <c r="DT29" i="2"/>
  <c r="DU28" i="2"/>
  <c r="DT28" i="2"/>
  <c r="DU27" i="2"/>
  <c r="DT27" i="2"/>
  <c r="DU26" i="2"/>
  <c r="DT26" i="2"/>
  <c r="DU25" i="2"/>
  <c r="DT25" i="2"/>
  <c r="DU24" i="2"/>
  <c r="DT24" i="2"/>
  <c r="DU23" i="2"/>
  <c r="DT23" i="2"/>
  <c r="DU22" i="2"/>
  <c r="DT22" i="2"/>
  <c r="DU21" i="2"/>
  <c r="DT21" i="2"/>
  <c r="DU20" i="2"/>
  <c r="DT20" i="2"/>
  <c r="DU19" i="2"/>
  <c r="DT19" i="2"/>
  <c r="DU18" i="2"/>
  <c r="DT18" i="2"/>
  <c r="DU17" i="2"/>
  <c r="DT17" i="2"/>
  <c r="DU16" i="2"/>
  <c r="DT16" i="2"/>
  <c r="DU15" i="2"/>
  <c r="DT15" i="2"/>
  <c r="DU14" i="2"/>
  <c r="DT14" i="2"/>
  <c r="DU13" i="2"/>
  <c r="DT13" i="2"/>
  <c r="DU12" i="2"/>
  <c r="DT12" i="2"/>
  <c r="DU11" i="2"/>
  <c r="DT11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BF118" i="2" l="1"/>
  <c r="AB169" i="1"/>
  <c r="AB14" i="1"/>
  <c r="AA14" i="1"/>
  <c r="AB16" i="1"/>
  <c r="AA16" i="1"/>
  <c r="AB15" i="1"/>
  <c r="AA15" i="1"/>
  <c r="AB168" i="1"/>
  <c r="AB171" i="1"/>
  <c r="V154" i="1"/>
  <c r="V151" i="1"/>
  <c r="AB151" i="1" s="1"/>
  <c r="V150" i="1"/>
  <c r="AB150" i="1" s="1"/>
  <c r="V149" i="1"/>
  <c r="AB149" i="1" s="1"/>
  <c r="V148" i="1"/>
  <c r="V147" i="1"/>
  <c r="V145" i="1"/>
  <c r="AB145" i="1" s="1"/>
  <c r="V140" i="1"/>
  <c r="AB140" i="1" s="1"/>
  <c r="V139" i="1"/>
  <c r="AB139" i="1" s="1"/>
  <c r="V138" i="1"/>
  <c r="V137" i="1"/>
  <c r="V136" i="1"/>
  <c r="AB136" i="1" s="1"/>
  <c r="V135" i="1"/>
  <c r="AB135" i="1" s="1"/>
  <c r="V134" i="1"/>
  <c r="V133" i="1"/>
  <c r="V132" i="1"/>
  <c r="AB132" i="1" s="1"/>
  <c r="V130" i="1"/>
  <c r="AB130" i="1" s="1"/>
  <c r="V129" i="1"/>
  <c r="AB129" i="1" s="1"/>
  <c r="V125" i="1"/>
  <c r="V123" i="1"/>
  <c r="V122" i="1"/>
  <c r="AB122" i="1" s="1"/>
  <c r="V153" i="1"/>
  <c r="AB153" i="1" s="1"/>
  <c r="V152" i="1"/>
  <c r="AB152" i="1" s="1"/>
  <c r="V146" i="1"/>
  <c r="V144" i="1"/>
  <c r="V143" i="1"/>
  <c r="AB143" i="1" s="1"/>
  <c r="V142" i="1"/>
  <c r="AB142" i="1" s="1"/>
  <c r="V141" i="1"/>
  <c r="AB141" i="1" s="1"/>
  <c r="V131" i="1"/>
  <c r="V128" i="1"/>
  <c r="V127" i="1"/>
  <c r="AB127" i="1" s="1"/>
  <c r="V126" i="1"/>
  <c r="AB126" i="1" s="1"/>
  <c r="V124" i="1"/>
  <c r="V121" i="1"/>
  <c r="V120" i="1"/>
  <c r="AB120" i="1" s="1"/>
  <c r="V119" i="1"/>
  <c r="AB119" i="1" s="1"/>
  <c r="V118" i="1"/>
  <c r="AB118" i="1" s="1"/>
  <c r="V117" i="1"/>
  <c r="V114" i="1"/>
  <c r="V113" i="1"/>
  <c r="AB113" i="1" s="1"/>
  <c r="V112" i="1"/>
  <c r="AB112" i="1" s="1"/>
  <c r="V116" i="1"/>
  <c r="AB116" i="1" s="1"/>
  <c r="V115" i="1"/>
  <c r="V111" i="1"/>
  <c r="V110" i="1"/>
  <c r="AB110" i="1" s="1"/>
  <c r="V109" i="1"/>
  <c r="AB109" i="1" s="1"/>
  <c r="V108" i="1"/>
  <c r="AB108" i="1" s="1"/>
  <c r="V155" i="1"/>
  <c r="V107" i="1"/>
  <c r="V106" i="1"/>
  <c r="T154" i="1"/>
  <c r="S154" i="1"/>
  <c r="R154" i="1"/>
  <c r="Q154" i="1"/>
  <c r="P154" i="1"/>
  <c r="O154" i="1"/>
  <c r="N154" i="1"/>
  <c r="M154" i="1"/>
  <c r="L154" i="1"/>
  <c r="K154" i="1"/>
  <c r="J154" i="1"/>
  <c r="T151" i="1"/>
  <c r="S151" i="1"/>
  <c r="R151" i="1"/>
  <c r="Q151" i="1"/>
  <c r="P151" i="1"/>
  <c r="O151" i="1"/>
  <c r="N151" i="1"/>
  <c r="M151" i="1"/>
  <c r="L151" i="1"/>
  <c r="K151" i="1"/>
  <c r="J151" i="1"/>
  <c r="T150" i="1"/>
  <c r="S150" i="1"/>
  <c r="R150" i="1"/>
  <c r="Q150" i="1"/>
  <c r="P150" i="1"/>
  <c r="O150" i="1"/>
  <c r="N150" i="1"/>
  <c r="M150" i="1"/>
  <c r="L150" i="1"/>
  <c r="K150" i="1"/>
  <c r="J150" i="1"/>
  <c r="T149" i="1"/>
  <c r="S149" i="1"/>
  <c r="R149" i="1"/>
  <c r="Q149" i="1"/>
  <c r="P149" i="1"/>
  <c r="O149" i="1"/>
  <c r="N149" i="1"/>
  <c r="M149" i="1"/>
  <c r="L149" i="1"/>
  <c r="K149" i="1"/>
  <c r="J149" i="1"/>
  <c r="T148" i="1"/>
  <c r="S148" i="1"/>
  <c r="R148" i="1"/>
  <c r="Q148" i="1"/>
  <c r="P148" i="1"/>
  <c r="O148" i="1"/>
  <c r="N148" i="1"/>
  <c r="M148" i="1"/>
  <c r="L148" i="1"/>
  <c r="K148" i="1"/>
  <c r="J148" i="1"/>
  <c r="T147" i="1"/>
  <c r="S147" i="1"/>
  <c r="R147" i="1"/>
  <c r="Q147" i="1"/>
  <c r="P147" i="1"/>
  <c r="O147" i="1"/>
  <c r="N147" i="1"/>
  <c r="M147" i="1"/>
  <c r="L147" i="1"/>
  <c r="K147" i="1"/>
  <c r="J147" i="1"/>
  <c r="T145" i="1"/>
  <c r="S145" i="1"/>
  <c r="R145" i="1"/>
  <c r="Q145" i="1"/>
  <c r="P145" i="1"/>
  <c r="O145" i="1"/>
  <c r="N145" i="1"/>
  <c r="M145" i="1"/>
  <c r="L145" i="1"/>
  <c r="K145" i="1"/>
  <c r="J145" i="1"/>
  <c r="T140" i="1"/>
  <c r="S140" i="1"/>
  <c r="R140" i="1"/>
  <c r="Q140" i="1"/>
  <c r="P140" i="1"/>
  <c r="O140" i="1"/>
  <c r="N140" i="1"/>
  <c r="M140" i="1"/>
  <c r="L140" i="1"/>
  <c r="K140" i="1"/>
  <c r="J140" i="1"/>
  <c r="T139" i="1"/>
  <c r="S139" i="1"/>
  <c r="R139" i="1"/>
  <c r="Q139" i="1"/>
  <c r="P139" i="1"/>
  <c r="O139" i="1"/>
  <c r="N139" i="1"/>
  <c r="M139" i="1"/>
  <c r="L139" i="1"/>
  <c r="K139" i="1"/>
  <c r="J139" i="1"/>
  <c r="T138" i="1"/>
  <c r="S138" i="1"/>
  <c r="R138" i="1"/>
  <c r="Q138" i="1"/>
  <c r="P138" i="1"/>
  <c r="O138" i="1"/>
  <c r="N138" i="1"/>
  <c r="M138" i="1"/>
  <c r="L138" i="1"/>
  <c r="K138" i="1"/>
  <c r="J138" i="1"/>
  <c r="T137" i="1"/>
  <c r="S137" i="1"/>
  <c r="R137" i="1"/>
  <c r="Q137" i="1"/>
  <c r="P137" i="1"/>
  <c r="O137" i="1"/>
  <c r="N137" i="1"/>
  <c r="M137" i="1"/>
  <c r="L137" i="1"/>
  <c r="K137" i="1"/>
  <c r="J137" i="1"/>
  <c r="T136" i="1"/>
  <c r="S136" i="1"/>
  <c r="R136" i="1"/>
  <c r="Q136" i="1"/>
  <c r="P136" i="1"/>
  <c r="O136" i="1"/>
  <c r="N136" i="1"/>
  <c r="M136" i="1"/>
  <c r="L136" i="1"/>
  <c r="K136" i="1"/>
  <c r="J136" i="1"/>
  <c r="T135" i="1"/>
  <c r="S135" i="1"/>
  <c r="R135" i="1"/>
  <c r="Q135" i="1"/>
  <c r="P135" i="1"/>
  <c r="O135" i="1"/>
  <c r="N135" i="1"/>
  <c r="M135" i="1"/>
  <c r="L135" i="1"/>
  <c r="K135" i="1"/>
  <c r="J135" i="1"/>
  <c r="T134" i="1"/>
  <c r="S134" i="1"/>
  <c r="R134" i="1"/>
  <c r="Q134" i="1"/>
  <c r="P134" i="1"/>
  <c r="O134" i="1"/>
  <c r="N134" i="1"/>
  <c r="M134" i="1"/>
  <c r="L134" i="1"/>
  <c r="K134" i="1"/>
  <c r="J134" i="1"/>
  <c r="T133" i="1"/>
  <c r="S133" i="1"/>
  <c r="R133" i="1"/>
  <c r="Q133" i="1"/>
  <c r="P133" i="1"/>
  <c r="O133" i="1"/>
  <c r="N133" i="1"/>
  <c r="M133" i="1"/>
  <c r="L133" i="1"/>
  <c r="K133" i="1"/>
  <c r="J133" i="1"/>
  <c r="T132" i="1"/>
  <c r="S132" i="1"/>
  <c r="R132" i="1"/>
  <c r="Q132" i="1"/>
  <c r="P132" i="1"/>
  <c r="O132" i="1"/>
  <c r="N132" i="1"/>
  <c r="M132" i="1"/>
  <c r="L132" i="1"/>
  <c r="K132" i="1"/>
  <c r="J132" i="1"/>
  <c r="T130" i="1"/>
  <c r="S130" i="1"/>
  <c r="R130" i="1"/>
  <c r="Q130" i="1"/>
  <c r="P130" i="1"/>
  <c r="O130" i="1"/>
  <c r="N130" i="1"/>
  <c r="M130" i="1"/>
  <c r="L130" i="1"/>
  <c r="K130" i="1"/>
  <c r="J130" i="1"/>
  <c r="T129" i="1"/>
  <c r="S129" i="1"/>
  <c r="R129" i="1"/>
  <c r="Q129" i="1"/>
  <c r="P129" i="1"/>
  <c r="O129" i="1"/>
  <c r="N129" i="1"/>
  <c r="M129" i="1"/>
  <c r="L129" i="1"/>
  <c r="K129" i="1"/>
  <c r="J129" i="1"/>
  <c r="T125" i="1"/>
  <c r="S125" i="1"/>
  <c r="R125" i="1"/>
  <c r="Q125" i="1"/>
  <c r="P125" i="1"/>
  <c r="O125" i="1"/>
  <c r="N125" i="1"/>
  <c r="M125" i="1"/>
  <c r="L125" i="1"/>
  <c r="K125" i="1"/>
  <c r="J125" i="1"/>
  <c r="T123" i="1"/>
  <c r="S123" i="1"/>
  <c r="R123" i="1"/>
  <c r="Q123" i="1"/>
  <c r="P123" i="1"/>
  <c r="O123" i="1"/>
  <c r="N123" i="1"/>
  <c r="M123" i="1"/>
  <c r="L123" i="1"/>
  <c r="K123" i="1"/>
  <c r="J123" i="1"/>
  <c r="T122" i="1"/>
  <c r="S122" i="1"/>
  <c r="R122" i="1"/>
  <c r="Q122" i="1"/>
  <c r="P122" i="1"/>
  <c r="O122" i="1"/>
  <c r="N122" i="1"/>
  <c r="M122" i="1"/>
  <c r="L122" i="1"/>
  <c r="K122" i="1"/>
  <c r="J122" i="1"/>
  <c r="T153" i="1"/>
  <c r="S153" i="1"/>
  <c r="R153" i="1"/>
  <c r="Q153" i="1"/>
  <c r="P153" i="1"/>
  <c r="O153" i="1"/>
  <c r="N153" i="1"/>
  <c r="M153" i="1"/>
  <c r="L153" i="1"/>
  <c r="K153" i="1"/>
  <c r="J153" i="1"/>
  <c r="T152" i="1"/>
  <c r="S152" i="1"/>
  <c r="R152" i="1"/>
  <c r="Q152" i="1"/>
  <c r="P152" i="1"/>
  <c r="O152" i="1"/>
  <c r="N152" i="1"/>
  <c r="M152" i="1"/>
  <c r="L152" i="1"/>
  <c r="K152" i="1"/>
  <c r="J152" i="1"/>
  <c r="T146" i="1"/>
  <c r="S146" i="1"/>
  <c r="R146" i="1"/>
  <c r="Q146" i="1"/>
  <c r="P146" i="1"/>
  <c r="O146" i="1"/>
  <c r="N146" i="1"/>
  <c r="M146" i="1"/>
  <c r="L146" i="1"/>
  <c r="K146" i="1"/>
  <c r="J146" i="1"/>
  <c r="T144" i="1"/>
  <c r="S144" i="1"/>
  <c r="R144" i="1"/>
  <c r="Q144" i="1"/>
  <c r="P144" i="1"/>
  <c r="O144" i="1"/>
  <c r="N144" i="1"/>
  <c r="M144" i="1"/>
  <c r="L144" i="1"/>
  <c r="K144" i="1"/>
  <c r="J144" i="1"/>
  <c r="T143" i="1"/>
  <c r="S143" i="1"/>
  <c r="R143" i="1"/>
  <c r="Q143" i="1"/>
  <c r="P143" i="1"/>
  <c r="O143" i="1"/>
  <c r="N143" i="1"/>
  <c r="M143" i="1"/>
  <c r="L143" i="1"/>
  <c r="K143" i="1"/>
  <c r="J143" i="1"/>
  <c r="T142" i="1"/>
  <c r="S142" i="1"/>
  <c r="R142" i="1"/>
  <c r="Q142" i="1"/>
  <c r="P142" i="1"/>
  <c r="O142" i="1"/>
  <c r="N142" i="1"/>
  <c r="M142" i="1"/>
  <c r="L142" i="1"/>
  <c r="K142" i="1"/>
  <c r="J142" i="1"/>
  <c r="T141" i="1"/>
  <c r="S141" i="1"/>
  <c r="R141" i="1"/>
  <c r="Q141" i="1"/>
  <c r="P141" i="1"/>
  <c r="O141" i="1"/>
  <c r="N141" i="1"/>
  <c r="M141" i="1"/>
  <c r="L141" i="1"/>
  <c r="K141" i="1"/>
  <c r="J141" i="1"/>
  <c r="T131" i="1"/>
  <c r="S131" i="1"/>
  <c r="R131" i="1"/>
  <c r="Q131" i="1"/>
  <c r="P131" i="1"/>
  <c r="O131" i="1"/>
  <c r="N131" i="1"/>
  <c r="M131" i="1"/>
  <c r="L131" i="1"/>
  <c r="K131" i="1"/>
  <c r="J131" i="1"/>
  <c r="T128" i="1"/>
  <c r="S128" i="1"/>
  <c r="R128" i="1"/>
  <c r="Q128" i="1"/>
  <c r="P128" i="1"/>
  <c r="O128" i="1"/>
  <c r="N128" i="1"/>
  <c r="M128" i="1"/>
  <c r="L128" i="1"/>
  <c r="K128" i="1"/>
  <c r="J128" i="1"/>
  <c r="T127" i="1"/>
  <c r="S127" i="1"/>
  <c r="R127" i="1"/>
  <c r="Q127" i="1"/>
  <c r="P127" i="1"/>
  <c r="O127" i="1"/>
  <c r="N127" i="1"/>
  <c r="M127" i="1"/>
  <c r="L127" i="1"/>
  <c r="K127" i="1"/>
  <c r="J127" i="1"/>
  <c r="T126" i="1"/>
  <c r="S126" i="1"/>
  <c r="R126" i="1"/>
  <c r="Q126" i="1"/>
  <c r="P126" i="1"/>
  <c r="O126" i="1"/>
  <c r="N126" i="1"/>
  <c r="M126" i="1"/>
  <c r="L126" i="1"/>
  <c r="K126" i="1"/>
  <c r="J126" i="1"/>
  <c r="T124" i="1"/>
  <c r="S124" i="1"/>
  <c r="R124" i="1"/>
  <c r="Q124" i="1"/>
  <c r="P124" i="1"/>
  <c r="O124" i="1"/>
  <c r="N124" i="1"/>
  <c r="M124" i="1"/>
  <c r="L124" i="1"/>
  <c r="K124" i="1"/>
  <c r="J124" i="1"/>
  <c r="T121" i="1"/>
  <c r="S121" i="1"/>
  <c r="R121" i="1"/>
  <c r="Q121" i="1"/>
  <c r="P121" i="1"/>
  <c r="O121" i="1"/>
  <c r="N121" i="1"/>
  <c r="M121" i="1"/>
  <c r="L121" i="1"/>
  <c r="K121" i="1"/>
  <c r="J121" i="1"/>
  <c r="T120" i="1"/>
  <c r="S120" i="1"/>
  <c r="R120" i="1"/>
  <c r="Q120" i="1"/>
  <c r="P120" i="1"/>
  <c r="O120" i="1"/>
  <c r="N120" i="1"/>
  <c r="M120" i="1"/>
  <c r="L120" i="1"/>
  <c r="K120" i="1"/>
  <c r="J120" i="1"/>
  <c r="T119" i="1"/>
  <c r="S119" i="1"/>
  <c r="R119" i="1"/>
  <c r="Q119" i="1"/>
  <c r="P119" i="1"/>
  <c r="O119" i="1"/>
  <c r="N119" i="1"/>
  <c r="M119" i="1"/>
  <c r="L119" i="1"/>
  <c r="K119" i="1"/>
  <c r="J119" i="1"/>
  <c r="T118" i="1"/>
  <c r="S118" i="1"/>
  <c r="R118" i="1"/>
  <c r="Q118" i="1"/>
  <c r="P118" i="1"/>
  <c r="O118" i="1"/>
  <c r="N118" i="1"/>
  <c r="M118" i="1"/>
  <c r="L118" i="1"/>
  <c r="K118" i="1"/>
  <c r="J118" i="1"/>
  <c r="T117" i="1"/>
  <c r="S117" i="1"/>
  <c r="R117" i="1"/>
  <c r="Q117" i="1"/>
  <c r="P117" i="1"/>
  <c r="O117" i="1"/>
  <c r="N117" i="1"/>
  <c r="M117" i="1"/>
  <c r="L117" i="1"/>
  <c r="K117" i="1"/>
  <c r="J117" i="1"/>
  <c r="T114" i="1"/>
  <c r="S114" i="1"/>
  <c r="R114" i="1"/>
  <c r="Q114" i="1"/>
  <c r="P114" i="1"/>
  <c r="O114" i="1"/>
  <c r="N114" i="1"/>
  <c r="M114" i="1"/>
  <c r="L114" i="1"/>
  <c r="K114" i="1"/>
  <c r="J114" i="1"/>
  <c r="T113" i="1"/>
  <c r="S113" i="1"/>
  <c r="R113" i="1"/>
  <c r="Q113" i="1"/>
  <c r="P113" i="1"/>
  <c r="O113" i="1"/>
  <c r="N113" i="1"/>
  <c r="M113" i="1"/>
  <c r="L113" i="1"/>
  <c r="K113" i="1"/>
  <c r="J113" i="1"/>
  <c r="T112" i="1"/>
  <c r="S112" i="1"/>
  <c r="R112" i="1"/>
  <c r="Q112" i="1"/>
  <c r="P112" i="1"/>
  <c r="O112" i="1"/>
  <c r="N112" i="1"/>
  <c r="M112" i="1"/>
  <c r="L112" i="1"/>
  <c r="K112" i="1"/>
  <c r="J112" i="1"/>
  <c r="T116" i="1"/>
  <c r="S116" i="1"/>
  <c r="R116" i="1"/>
  <c r="Q116" i="1"/>
  <c r="P116" i="1"/>
  <c r="O116" i="1"/>
  <c r="N116" i="1"/>
  <c r="M116" i="1"/>
  <c r="L116" i="1"/>
  <c r="K116" i="1"/>
  <c r="J116" i="1"/>
  <c r="T115" i="1"/>
  <c r="S115" i="1"/>
  <c r="R115" i="1"/>
  <c r="Q115" i="1"/>
  <c r="P115" i="1"/>
  <c r="O115" i="1"/>
  <c r="N115" i="1"/>
  <c r="M115" i="1"/>
  <c r="L115" i="1"/>
  <c r="K115" i="1"/>
  <c r="J115" i="1"/>
  <c r="T111" i="1"/>
  <c r="S111" i="1"/>
  <c r="R111" i="1"/>
  <c r="Q111" i="1"/>
  <c r="P111" i="1"/>
  <c r="O111" i="1"/>
  <c r="N111" i="1"/>
  <c r="M111" i="1"/>
  <c r="L111" i="1"/>
  <c r="K111" i="1"/>
  <c r="J111" i="1"/>
  <c r="T110" i="1"/>
  <c r="S110" i="1"/>
  <c r="R110" i="1"/>
  <c r="Q110" i="1"/>
  <c r="P110" i="1"/>
  <c r="O110" i="1"/>
  <c r="N110" i="1"/>
  <c r="M110" i="1"/>
  <c r="L110" i="1"/>
  <c r="K110" i="1"/>
  <c r="J110" i="1"/>
  <c r="T109" i="1"/>
  <c r="S109" i="1"/>
  <c r="R109" i="1"/>
  <c r="Q109" i="1"/>
  <c r="P109" i="1"/>
  <c r="O109" i="1"/>
  <c r="N109" i="1"/>
  <c r="M109" i="1"/>
  <c r="L109" i="1"/>
  <c r="K109" i="1"/>
  <c r="J109" i="1"/>
  <c r="T108" i="1"/>
  <c r="S108" i="1"/>
  <c r="R108" i="1"/>
  <c r="Q108" i="1"/>
  <c r="P108" i="1"/>
  <c r="O108" i="1"/>
  <c r="N108" i="1"/>
  <c r="M108" i="1"/>
  <c r="L108" i="1"/>
  <c r="K108" i="1"/>
  <c r="J108" i="1"/>
  <c r="T155" i="1"/>
  <c r="S155" i="1"/>
  <c r="R155" i="1"/>
  <c r="Q155" i="1"/>
  <c r="P155" i="1"/>
  <c r="O155" i="1"/>
  <c r="N155" i="1"/>
  <c r="M155" i="1"/>
  <c r="L155" i="1"/>
  <c r="K155" i="1"/>
  <c r="J155" i="1"/>
  <c r="AA127" i="1"/>
  <c r="AA126" i="1"/>
  <c r="AA120" i="1"/>
  <c r="AA119" i="1"/>
  <c r="AA118" i="1"/>
  <c r="AA113" i="1"/>
  <c r="AA112" i="1"/>
  <c r="AA116" i="1"/>
  <c r="AA110" i="1"/>
  <c r="AA109" i="1"/>
  <c r="AA108" i="1"/>
  <c r="AA136" i="1"/>
  <c r="AA135" i="1"/>
  <c r="AA132" i="1"/>
  <c r="AA130" i="1"/>
  <c r="AA129" i="1"/>
  <c r="AA122" i="1"/>
  <c r="AA153" i="1"/>
  <c r="AA152" i="1"/>
  <c r="AA143" i="1"/>
  <c r="AA142" i="1"/>
  <c r="AA141" i="1"/>
  <c r="AA151" i="1"/>
  <c r="AA150" i="1"/>
  <c r="AA149" i="1"/>
  <c r="AA145" i="1"/>
  <c r="AA140" i="1"/>
  <c r="AA139" i="1"/>
  <c r="K107" i="1"/>
  <c r="L107" i="1"/>
  <c r="M107" i="1"/>
  <c r="N107" i="1"/>
  <c r="O107" i="1"/>
  <c r="P107" i="1"/>
  <c r="Q107" i="1"/>
  <c r="R107" i="1"/>
  <c r="S107" i="1"/>
  <c r="T107" i="1"/>
  <c r="J107" i="1"/>
  <c r="AB105" i="1"/>
  <c r="AA105" i="1"/>
  <c r="V76" i="1"/>
  <c r="V90" i="1"/>
  <c r="V80" i="1"/>
  <c r="V91" i="1"/>
  <c r="V86" i="1"/>
  <c r="V84" i="1"/>
  <c r="V77" i="1"/>
  <c r="V89" i="1"/>
  <c r="V82" i="1"/>
  <c r="V101" i="1"/>
  <c r="V98" i="1"/>
  <c r="V96" i="1"/>
  <c r="T96" i="1"/>
  <c r="S96" i="1"/>
  <c r="R96" i="1"/>
  <c r="Q96" i="1"/>
  <c r="P96" i="1"/>
  <c r="O96" i="1"/>
  <c r="N96" i="1"/>
  <c r="M96" i="1"/>
  <c r="L96" i="1"/>
  <c r="K96" i="1"/>
  <c r="J96" i="1"/>
  <c r="V93" i="1"/>
  <c r="V74" i="1"/>
  <c r="V75" i="1"/>
  <c r="AB71" i="1"/>
  <c r="AA71" i="1"/>
  <c r="T73" i="1"/>
  <c r="S73" i="1"/>
  <c r="R73" i="1"/>
  <c r="Q73" i="1"/>
  <c r="P73" i="1"/>
  <c r="O73" i="1"/>
  <c r="N73" i="1"/>
  <c r="M73" i="1"/>
  <c r="L73" i="1"/>
  <c r="K73" i="1"/>
  <c r="J73" i="1"/>
  <c r="V73" i="1"/>
  <c r="T76" i="1"/>
  <c r="S76" i="1"/>
  <c r="R76" i="1"/>
  <c r="Q76" i="1"/>
  <c r="P76" i="1"/>
  <c r="O76" i="1"/>
  <c r="N76" i="1"/>
  <c r="M76" i="1"/>
  <c r="L76" i="1"/>
  <c r="K76" i="1"/>
  <c r="J76" i="1"/>
  <c r="T83" i="1"/>
  <c r="S83" i="1"/>
  <c r="R83" i="1"/>
  <c r="Q83" i="1"/>
  <c r="P83" i="1"/>
  <c r="O83" i="1"/>
  <c r="N83" i="1"/>
  <c r="M83" i="1"/>
  <c r="L83" i="1"/>
  <c r="K83" i="1"/>
  <c r="J83" i="1"/>
  <c r="T80" i="1"/>
  <c r="S80" i="1"/>
  <c r="R80" i="1"/>
  <c r="Q80" i="1"/>
  <c r="P80" i="1"/>
  <c r="O80" i="1"/>
  <c r="N80" i="1"/>
  <c r="M80" i="1"/>
  <c r="L80" i="1"/>
  <c r="K80" i="1"/>
  <c r="J80" i="1"/>
  <c r="T91" i="1"/>
  <c r="S91" i="1"/>
  <c r="R91" i="1"/>
  <c r="Q91" i="1"/>
  <c r="P91" i="1"/>
  <c r="O91" i="1"/>
  <c r="N91" i="1"/>
  <c r="M91" i="1"/>
  <c r="L91" i="1"/>
  <c r="K91" i="1"/>
  <c r="J91" i="1"/>
  <c r="T101" i="1"/>
  <c r="S101" i="1"/>
  <c r="R101" i="1"/>
  <c r="Q101" i="1"/>
  <c r="P101" i="1"/>
  <c r="O101" i="1"/>
  <c r="N101" i="1"/>
  <c r="M101" i="1"/>
  <c r="L101" i="1"/>
  <c r="K101" i="1"/>
  <c r="J101" i="1"/>
  <c r="T79" i="1"/>
  <c r="S79" i="1"/>
  <c r="R79" i="1"/>
  <c r="Q79" i="1"/>
  <c r="P79" i="1"/>
  <c r="O79" i="1"/>
  <c r="N79" i="1"/>
  <c r="M79" i="1"/>
  <c r="L79" i="1"/>
  <c r="K79" i="1"/>
  <c r="J79" i="1"/>
  <c r="T92" i="1"/>
  <c r="S92" i="1"/>
  <c r="R92" i="1"/>
  <c r="Q92" i="1"/>
  <c r="P92" i="1"/>
  <c r="O92" i="1"/>
  <c r="N92" i="1"/>
  <c r="M92" i="1"/>
  <c r="L92" i="1"/>
  <c r="K92" i="1"/>
  <c r="J92" i="1"/>
  <c r="T98" i="1"/>
  <c r="S98" i="1"/>
  <c r="R98" i="1"/>
  <c r="Q98" i="1"/>
  <c r="P98" i="1"/>
  <c r="O98" i="1"/>
  <c r="N98" i="1"/>
  <c r="M98" i="1"/>
  <c r="L98" i="1"/>
  <c r="K98" i="1"/>
  <c r="J98" i="1"/>
  <c r="T93" i="1"/>
  <c r="S93" i="1"/>
  <c r="R93" i="1"/>
  <c r="Q93" i="1"/>
  <c r="P93" i="1"/>
  <c r="O93" i="1"/>
  <c r="N93" i="1"/>
  <c r="M93" i="1"/>
  <c r="L93" i="1"/>
  <c r="K93" i="1"/>
  <c r="J93" i="1"/>
  <c r="T100" i="1"/>
  <c r="S100" i="1"/>
  <c r="R100" i="1"/>
  <c r="Q100" i="1"/>
  <c r="P100" i="1"/>
  <c r="O100" i="1"/>
  <c r="N100" i="1"/>
  <c r="M100" i="1"/>
  <c r="L100" i="1"/>
  <c r="K100" i="1"/>
  <c r="J100" i="1"/>
  <c r="T75" i="1"/>
  <c r="S75" i="1"/>
  <c r="R75" i="1"/>
  <c r="Q75" i="1"/>
  <c r="P75" i="1"/>
  <c r="O75" i="1"/>
  <c r="N75" i="1"/>
  <c r="M75" i="1"/>
  <c r="L75" i="1"/>
  <c r="K75" i="1"/>
  <c r="J75" i="1"/>
  <c r="T78" i="1"/>
  <c r="S78" i="1"/>
  <c r="R78" i="1"/>
  <c r="Q78" i="1"/>
  <c r="P78" i="1"/>
  <c r="O78" i="1"/>
  <c r="N78" i="1"/>
  <c r="M78" i="1"/>
  <c r="L78" i="1"/>
  <c r="K78" i="1"/>
  <c r="J78" i="1"/>
  <c r="V72" i="1"/>
  <c r="V70" i="1"/>
  <c r="V69" i="1"/>
  <c r="V163" i="1"/>
  <c r="V162" i="1"/>
  <c r="V161" i="1"/>
  <c r="V160" i="1"/>
  <c r="V49" i="1"/>
  <c r="V45" i="1"/>
  <c r="V17" i="1"/>
  <c r="AB17" i="1" s="1"/>
  <c r="V57" i="1"/>
  <c r="AB57" i="1" s="1"/>
  <c r="AA170" i="1"/>
  <c r="V13" i="1"/>
  <c r="AB13" i="1" s="1"/>
  <c r="V12" i="1"/>
  <c r="AB12" i="1" s="1"/>
  <c r="V10" i="1"/>
  <c r="AB10" i="1" s="1"/>
  <c r="BE10" i="2"/>
  <c r="BE115" i="2" s="1"/>
  <c r="BD10" i="2"/>
  <c r="AZ204" i="2"/>
  <c r="AY204" i="2"/>
  <c r="AX204" i="2"/>
  <c r="AZ198" i="2"/>
  <c r="AY198" i="2"/>
  <c r="AX198" i="2"/>
  <c r="AZ193" i="2"/>
  <c r="AY193" i="2"/>
  <c r="AX193" i="2"/>
  <c r="AZ188" i="2"/>
  <c r="AY188" i="2"/>
  <c r="AX188" i="2"/>
  <c r="AZ183" i="2"/>
  <c r="AY183" i="2"/>
  <c r="AX183" i="2"/>
  <c r="AZ178" i="2"/>
  <c r="AY178" i="2"/>
  <c r="AX178" i="2"/>
  <c r="AZ173" i="2"/>
  <c r="AY173" i="2"/>
  <c r="AX173" i="2"/>
  <c r="AZ168" i="2"/>
  <c r="AY168" i="2"/>
  <c r="AX168" i="2"/>
  <c r="AZ137" i="2"/>
  <c r="AY137" i="2"/>
  <c r="AX137" i="2"/>
  <c r="AZ115" i="2"/>
  <c r="AZ114" i="2"/>
  <c r="AY114" i="2"/>
  <c r="AX114" i="2"/>
  <c r="AZ82" i="2"/>
  <c r="AY82" i="2"/>
  <c r="AX82" i="2"/>
  <c r="AZ58" i="2"/>
  <c r="AY58" i="2"/>
  <c r="AX58" i="2"/>
  <c r="AZ33" i="2"/>
  <c r="AY33" i="2"/>
  <c r="AX33" i="2"/>
  <c r="AY43" i="2"/>
  <c r="AX44" i="2"/>
  <c r="AY48" i="2"/>
  <c r="AZ4" i="2"/>
  <c r="AY4" i="2"/>
  <c r="AX4" i="2"/>
  <c r="U87" i="4"/>
  <c r="S194" i="1" l="1"/>
  <c r="P194" i="1"/>
  <c r="BD115" i="2"/>
  <c r="AA169" i="1"/>
  <c r="AA168" i="1"/>
  <c r="AA171" i="1"/>
  <c r="AX37" i="2"/>
  <c r="FE27" i="2"/>
  <c r="AY42" i="2"/>
  <c r="FE19" i="2"/>
  <c r="AY52" i="2"/>
  <c r="AY67" i="2"/>
  <c r="AX49" i="2"/>
  <c r="FE25" i="2"/>
  <c r="AY49" i="2"/>
  <c r="AY51" i="2"/>
  <c r="AX52" i="2"/>
  <c r="FE29" i="2"/>
  <c r="FE24" i="2"/>
  <c r="FE15" i="2"/>
  <c r="FE16" i="2"/>
  <c r="AY41" i="2"/>
  <c r="AX42" i="2"/>
  <c r="AX51" i="2"/>
  <c r="AY47" i="2"/>
  <c r="AX54" i="2"/>
  <c r="AY50" i="2"/>
  <c r="FE30" i="2"/>
  <c r="AY40" i="2"/>
  <c r="AX41" i="2"/>
  <c r="FE23" i="2"/>
  <c r="AX53" i="2"/>
  <c r="AY53" i="2"/>
  <c r="AY54" i="2"/>
  <c r="AY55" i="2"/>
  <c r="AX36" i="2"/>
  <c r="AX60" i="2" s="1"/>
  <c r="AY44" i="2"/>
  <c r="AX45" i="2"/>
  <c r="AX46" i="2"/>
  <c r="AY46" i="2"/>
  <c r="AX47" i="2"/>
  <c r="AX48" i="2"/>
  <c r="AX50" i="2"/>
  <c r="AX43" i="2"/>
  <c r="AX55" i="2"/>
  <c r="AY45" i="2"/>
  <c r="AX40" i="2"/>
  <c r="AX39" i="2"/>
  <c r="H16" i="4"/>
  <c r="AI6" i="4"/>
  <c r="AI4" i="4"/>
  <c r="AK24" i="4"/>
  <c r="AK19" i="4"/>
  <c r="L7" i="1"/>
  <c r="AH16" i="4"/>
  <c r="AH17" i="4"/>
  <c r="AH18" i="4"/>
  <c r="AH19" i="4"/>
  <c r="AB43" i="1"/>
  <c r="AA43" i="1"/>
  <c r="AY68" i="2" l="1"/>
  <c r="AY78" i="2"/>
  <c r="AY73" i="2"/>
  <c r="AX71" i="2"/>
  <c r="AY72" i="2"/>
  <c r="AX70" i="2"/>
  <c r="AY65" i="2"/>
  <c r="AX69" i="2"/>
  <c r="AX72" i="2"/>
  <c r="AX77" i="2"/>
  <c r="AX75" i="2"/>
  <c r="AX66" i="2"/>
  <c r="AY75" i="2"/>
  <c r="AY76" i="2"/>
  <c r="AY70" i="2"/>
  <c r="DU45" i="2"/>
  <c r="FE20" i="2"/>
  <c r="DU51" i="2"/>
  <c r="FE26" i="2"/>
  <c r="DU46" i="2"/>
  <c r="FE21" i="2"/>
  <c r="DU47" i="2"/>
  <c r="FE22" i="2"/>
  <c r="DU53" i="2"/>
  <c r="FE28" i="2"/>
  <c r="DU42" i="2"/>
  <c r="FE17" i="2"/>
  <c r="DU43" i="2"/>
  <c r="FE18" i="2"/>
  <c r="AX76" i="2"/>
  <c r="AX65" i="2"/>
  <c r="DU39" i="2"/>
  <c r="FE14" i="2"/>
  <c r="FE12" i="2"/>
  <c r="DU36" i="2"/>
  <c r="FE11" i="2"/>
  <c r="AK20" i="4"/>
  <c r="AY74" i="2"/>
  <c r="DU50" i="2"/>
  <c r="DU31" i="2"/>
  <c r="DU40" i="2"/>
  <c r="AX79" i="2"/>
  <c r="DU49" i="2"/>
  <c r="DU44" i="2"/>
  <c r="AX67" i="2"/>
  <c r="AY66" i="2"/>
  <c r="AY77" i="2"/>
  <c r="DU54" i="2"/>
  <c r="DU52" i="2"/>
  <c r="AX74" i="2"/>
  <c r="DU48" i="2"/>
  <c r="DU41" i="2"/>
  <c r="AY71" i="2"/>
  <c r="AY79" i="2"/>
  <c r="AX61" i="2"/>
  <c r="AY69" i="2"/>
  <c r="AX179" i="2"/>
  <c r="AX169" i="2"/>
  <c r="AX174" i="2"/>
  <c r="AX68" i="2"/>
  <c r="AX73" i="2"/>
  <c r="AX78" i="2"/>
  <c r="AX64" i="2"/>
  <c r="AB42" i="1"/>
  <c r="AA42" i="1"/>
  <c r="AB41" i="1"/>
  <c r="AA41" i="1"/>
  <c r="N85" i="4"/>
  <c r="Z85" i="4"/>
  <c r="AB35" i="1"/>
  <c r="AA35" i="1"/>
  <c r="AB27" i="1"/>
  <c r="AA27" i="1"/>
  <c r="AB26" i="1"/>
  <c r="AA26" i="1"/>
  <c r="AB166" i="1"/>
  <c r="R164" i="1"/>
  <c r="R194" i="1" s="1"/>
  <c r="O164" i="1"/>
  <c r="O194" i="1" s="1"/>
  <c r="AA166" i="1"/>
  <c r="AX90" i="2" l="1"/>
  <c r="AX98" i="2"/>
  <c r="AX101" i="2"/>
  <c r="AX93" i="2"/>
  <c r="AX91" i="2"/>
  <c r="AX95" i="2"/>
  <c r="AX92" i="2"/>
  <c r="AX89" i="2"/>
  <c r="AX100" i="2"/>
  <c r="AX94" i="2"/>
  <c r="AX103" i="2"/>
  <c r="AX99" i="2"/>
  <c r="AX96" i="2"/>
  <c r="AX88" i="2"/>
  <c r="AX102" i="2"/>
  <c r="AX97" i="2"/>
  <c r="AX202" i="2"/>
  <c r="AX181" i="2"/>
  <c r="AX201" i="2"/>
  <c r="AX191" i="2"/>
  <c r="AX176" i="2"/>
  <c r="AY181" i="2"/>
  <c r="AY171" i="2"/>
  <c r="AY202" i="2"/>
  <c r="AX206" i="2"/>
  <c r="AX195" i="2"/>
  <c r="AY201" i="2"/>
  <c r="AY191" i="2"/>
  <c r="AX186" i="2"/>
  <c r="AY206" i="2"/>
  <c r="AX196" i="2"/>
  <c r="AY186" i="2"/>
  <c r="AY176" i="2"/>
  <c r="AY195" i="2"/>
  <c r="AY196" i="2"/>
  <c r="AX171" i="2"/>
  <c r="AX184" i="2"/>
  <c r="AG87" i="4"/>
  <c r="BJ59" i="4"/>
  <c r="BK59" i="4" s="1"/>
  <c r="BL59" i="4"/>
  <c r="BM59" i="4" s="1"/>
  <c r="BJ60" i="4"/>
  <c r="BL60" i="4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BP60" i="4" l="1"/>
  <c r="BK60" i="4"/>
  <c r="L60" i="4"/>
  <c r="BQ60" i="4"/>
  <c r="M92" i="4"/>
  <c r="BM60" i="4"/>
  <c r="L92" i="4"/>
  <c r="BN60" i="4"/>
  <c r="DT48" i="2"/>
  <c r="DT54" i="2"/>
  <c r="DT53" i="2"/>
  <c r="DT49" i="2"/>
  <c r="DT43" i="2"/>
  <c r="DT39" i="2"/>
  <c r="DT37" i="2"/>
  <c r="DT51" i="2"/>
  <c r="DT46" i="2"/>
  <c r="DT36" i="2"/>
  <c r="DT45" i="2"/>
  <c r="DT44" i="2"/>
  <c r="DT41" i="2"/>
  <c r="AX105" i="2"/>
  <c r="AX107" i="2"/>
  <c r="AX109" i="2"/>
  <c r="BP59" i="4"/>
  <c r="BQ59" i="4" s="1"/>
  <c r="BN59" i="4"/>
  <c r="BO59" i="4" s="1"/>
  <c r="DS30" i="2"/>
  <c r="DR30" i="2"/>
  <c r="DS29" i="2"/>
  <c r="DR29" i="2"/>
  <c r="FC29" i="2" s="1"/>
  <c r="DS28" i="2"/>
  <c r="DR28" i="2"/>
  <c r="DS27" i="2"/>
  <c r="DR27" i="2"/>
  <c r="DS26" i="2"/>
  <c r="DR26" i="2"/>
  <c r="DS25" i="2"/>
  <c r="DR25" i="2"/>
  <c r="DS24" i="2"/>
  <c r="DR24" i="2"/>
  <c r="DS23" i="2"/>
  <c r="DR23" i="2"/>
  <c r="DS22" i="2"/>
  <c r="DR22" i="2"/>
  <c r="DS21" i="2"/>
  <c r="DR21" i="2"/>
  <c r="DS20" i="2"/>
  <c r="DR20" i="2"/>
  <c r="DS19" i="2"/>
  <c r="DR19" i="2"/>
  <c r="DS18" i="2"/>
  <c r="DR18" i="2"/>
  <c r="DS17" i="2"/>
  <c r="DR17" i="2"/>
  <c r="FC17" i="2" s="1"/>
  <c r="DS16" i="2"/>
  <c r="DR16" i="2"/>
  <c r="DS15" i="2"/>
  <c r="DR15" i="2"/>
  <c r="DS14" i="2"/>
  <c r="DR14" i="2"/>
  <c r="DS13" i="2"/>
  <c r="DR13" i="2"/>
  <c r="DS12" i="2"/>
  <c r="DR12" i="2"/>
  <c r="DS11" i="2"/>
  <c r="DR11" i="2"/>
  <c r="DS10" i="2"/>
  <c r="DR10" i="2"/>
  <c r="AW204" i="2"/>
  <c r="AV204" i="2"/>
  <c r="AU204" i="2"/>
  <c r="AW198" i="2"/>
  <c r="AV198" i="2"/>
  <c r="AU198" i="2"/>
  <c r="AW193" i="2"/>
  <c r="AV193" i="2"/>
  <c r="AU193" i="2"/>
  <c r="AW188" i="2"/>
  <c r="AV188" i="2"/>
  <c r="AU188" i="2"/>
  <c r="AW183" i="2"/>
  <c r="AV183" i="2"/>
  <c r="AU183" i="2"/>
  <c r="AW178" i="2"/>
  <c r="AV178" i="2"/>
  <c r="AU178" i="2"/>
  <c r="AW173" i="2"/>
  <c r="AV173" i="2"/>
  <c r="AU173" i="2"/>
  <c r="AW168" i="2"/>
  <c r="AV168" i="2"/>
  <c r="AU168" i="2"/>
  <c r="AW137" i="2"/>
  <c r="AV137" i="2"/>
  <c r="AU137" i="2"/>
  <c r="AW114" i="2"/>
  <c r="AV114" i="2"/>
  <c r="AU114" i="2"/>
  <c r="AW4" i="2"/>
  <c r="AV4" i="2"/>
  <c r="AU4" i="2"/>
  <c r="AW82" i="2"/>
  <c r="AV82" i="2"/>
  <c r="AU82" i="2"/>
  <c r="AW58" i="2"/>
  <c r="AV58" i="2"/>
  <c r="AU58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V59" i="2" s="1"/>
  <c r="AU35" i="2"/>
  <c r="AU59" i="2" s="1"/>
  <c r="AW33" i="2"/>
  <c r="AV33" i="2"/>
  <c r="AU33" i="2"/>
  <c r="O17" i="4"/>
  <c r="DS53" i="2" l="1"/>
  <c r="DS43" i="2"/>
  <c r="BO60" i="4"/>
  <c r="M60" i="4"/>
  <c r="FC10" i="2"/>
  <c r="FC20" i="2"/>
  <c r="FC30" i="2"/>
  <c r="DS40" i="2"/>
  <c r="DS50" i="2"/>
  <c r="FC16" i="2"/>
  <c r="DS36" i="2"/>
  <c r="FC27" i="2"/>
  <c r="DT50" i="2"/>
  <c r="AX111" i="2"/>
  <c r="DT47" i="2"/>
  <c r="DT31" i="2"/>
  <c r="DT42" i="2"/>
  <c r="DT38" i="2"/>
  <c r="DT52" i="2"/>
  <c r="DT40" i="2"/>
  <c r="DR53" i="2"/>
  <c r="O18" i="4"/>
  <c r="H17" i="4"/>
  <c r="DS46" i="2"/>
  <c r="DS39" i="2"/>
  <c r="DS49" i="2"/>
  <c r="FC23" i="2"/>
  <c r="DR54" i="2"/>
  <c r="DS54" i="2"/>
  <c r="DS38" i="2"/>
  <c r="DS48" i="2"/>
  <c r="DS44" i="2"/>
  <c r="AV62" i="2"/>
  <c r="DS37" i="2"/>
  <c r="DS47" i="2"/>
  <c r="DR38" i="2"/>
  <c r="FC13" i="2"/>
  <c r="DR50" i="2"/>
  <c r="FC25" i="2"/>
  <c r="DR51" i="2"/>
  <c r="FC26" i="2"/>
  <c r="DR47" i="2"/>
  <c r="FC22" i="2"/>
  <c r="DR36" i="2"/>
  <c r="FC11" i="2"/>
  <c r="AU77" i="2"/>
  <c r="AU71" i="2"/>
  <c r="DS52" i="2"/>
  <c r="DR49" i="2"/>
  <c r="FC24" i="2"/>
  <c r="DR40" i="2"/>
  <c r="FC15" i="2"/>
  <c r="AV61" i="2"/>
  <c r="DR44" i="2"/>
  <c r="FC19" i="2"/>
  <c r="AU67" i="2"/>
  <c r="AU62" i="2"/>
  <c r="DR46" i="2"/>
  <c r="FC21" i="2"/>
  <c r="DR37" i="2"/>
  <c r="FC12" i="2"/>
  <c r="DR39" i="2"/>
  <c r="FC14" i="2"/>
  <c r="AV70" i="2"/>
  <c r="DR43" i="2"/>
  <c r="FC18" i="2"/>
  <c r="DR52" i="2"/>
  <c r="FC28" i="2"/>
  <c r="AV77" i="2"/>
  <c r="AV79" i="2"/>
  <c r="AV67" i="2"/>
  <c r="DS42" i="2"/>
  <c r="AV60" i="2"/>
  <c r="AV69" i="2"/>
  <c r="AV72" i="2"/>
  <c r="DR42" i="2"/>
  <c r="AU70" i="2"/>
  <c r="AU61" i="2"/>
  <c r="AU73" i="2"/>
  <c r="AU60" i="2"/>
  <c r="AU174" i="2" s="1"/>
  <c r="AU63" i="2"/>
  <c r="DR35" i="2"/>
  <c r="DR45" i="2"/>
  <c r="AV73" i="2"/>
  <c r="DR41" i="2"/>
  <c r="DS41" i="2"/>
  <c r="DS51" i="2"/>
  <c r="DR48" i="2"/>
  <c r="AU74" i="2"/>
  <c r="AV64" i="2"/>
  <c r="AV71" i="2"/>
  <c r="AU64" i="2"/>
  <c r="AV74" i="2"/>
  <c r="AU72" i="2"/>
  <c r="AU65" i="2"/>
  <c r="AV65" i="2"/>
  <c r="AU66" i="2"/>
  <c r="AU76" i="2"/>
  <c r="AV66" i="2"/>
  <c r="AV76" i="2"/>
  <c r="DS31" i="2"/>
  <c r="AU75" i="2"/>
  <c r="AU78" i="2"/>
  <c r="AV68" i="2"/>
  <c r="AV78" i="2"/>
  <c r="DS35" i="2"/>
  <c r="DS45" i="2"/>
  <c r="AV75" i="2"/>
  <c r="DR31" i="2"/>
  <c r="AU68" i="2"/>
  <c r="AU69" i="2"/>
  <c r="AU79" i="2"/>
  <c r="AU199" i="2"/>
  <c r="AV199" i="2"/>
  <c r="AV63" i="2"/>
  <c r="AU97" i="2" l="1"/>
  <c r="AV90" i="2"/>
  <c r="AU100" i="2"/>
  <c r="AU94" i="2"/>
  <c r="AU89" i="2"/>
  <c r="AU96" i="2"/>
  <c r="AU103" i="2"/>
  <c r="AV95" i="2"/>
  <c r="AV103" i="2"/>
  <c r="AV101" i="2"/>
  <c r="AU95" i="2"/>
  <c r="AU101" i="2"/>
  <c r="AV97" i="2"/>
  <c r="AU91" i="2"/>
  <c r="AV93" i="2"/>
  <c r="AV98" i="2"/>
  <c r="AU93" i="2"/>
  <c r="AV88" i="2"/>
  <c r="AU98" i="2"/>
  <c r="AV94" i="2"/>
  <c r="AU90" i="2"/>
  <c r="AV89" i="2"/>
  <c r="AV96" i="2"/>
  <c r="AU88" i="2"/>
  <c r="AV91" i="2"/>
  <c r="AU92" i="2"/>
  <c r="AV99" i="2"/>
  <c r="AV102" i="2"/>
  <c r="AV92" i="2"/>
  <c r="AU102" i="2"/>
  <c r="AU99" i="2"/>
  <c r="AV100" i="2"/>
  <c r="DT56" i="2"/>
  <c r="DT55" i="2"/>
  <c r="O19" i="4"/>
  <c r="H18" i="4"/>
  <c r="AU175" i="2"/>
  <c r="FC32" i="2"/>
  <c r="DR56" i="2"/>
  <c r="AV184" i="2"/>
  <c r="AU205" i="2"/>
  <c r="AV181" i="2"/>
  <c r="AV189" i="2"/>
  <c r="AU196" i="2"/>
  <c r="AV179" i="2"/>
  <c r="AV169" i="2"/>
  <c r="AV174" i="2"/>
  <c r="AU200" i="2"/>
  <c r="AU169" i="2"/>
  <c r="AU179" i="2"/>
  <c r="AV196" i="2"/>
  <c r="AV171" i="2"/>
  <c r="AU189" i="2"/>
  <c r="AU185" i="2"/>
  <c r="AU184" i="2"/>
  <c r="AU171" i="2"/>
  <c r="DR55" i="2"/>
  <c r="AU191" i="2"/>
  <c r="DS56" i="2"/>
  <c r="DS55" i="2"/>
  <c r="AU202" i="2"/>
  <c r="AU181" i="2"/>
  <c r="AV186" i="2"/>
  <c r="AV206" i="2"/>
  <c r="AU194" i="2"/>
  <c r="AV176" i="2"/>
  <c r="AV195" i="2"/>
  <c r="AU176" i="2"/>
  <c r="AU180" i="2"/>
  <c r="AU190" i="2"/>
  <c r="AU201" i="2"/>
  <c r="AU170" i="2"/>
  <c r="AV201" i="2"/>
  <c r="AU206" i="2"/>
  <c r="AU186" i="2"/>
  <c r="AU195" i="2"/>
  <c r="AV191" i="2"/>
  <c r="AV202" i="2"/>
  <c r="AV200" i="2"/>
  <c r="AV205" i="2"/>
  <c r="AV180" i="2"/>
  <c r="AV170" i="2"/>
  <c r="AV190" i="2"/>
  <c r="AV185" i="2"/>
  <c r="AV194" i="2"/>
  <c r="AV175" i="2"/>
  <c r="AV105" i="2" l="1"/>
  <c r="O20" i="4"/>
  <c r="H19" i="4"/>
  <c r="AU104" i="2"/>
  <c r="AU107" i="2"/>
  <c r="AV107" i="2"/>
  <c r="AU109" i="2"/>
  <c r="AV109" i="2"/>
  <c r="AV104" i="2"/>
  <c r="AU105" i="2"/>
  <c r="O21" i="4" l="1"/>
  <c r="H20" i="4"/>
  <c r="AV111" i="2"/>
  <c r="AU111" i="2"/>
  <c r="O22" i="4" l="1"/>
  <c r="H21" i="4"/>
  <c r="J58" i="1"/>
  <c r="O23" i="4" l="1"/>
  <c r="H22" i="4"/>
  <c r="AB64" i="1"/>
  <c r="AB60" i="1"/>
  <c r="AB59" i="1"/>
  <c r="AA59" i="1"/>
  <c r="AI11" i="4"/>
  <c r="O24" i="4" l="1"/>
  <c r="H23" i="4"/>
  <c r="AB28" i="1"/>
  <c r="AA28" i="1"/>
  <c r="O25" i="4" l="1"/>
  <c r="H24" i="4"/>
  <c r="O26" i="4" l="1"/>
  <c r="H25" i="4"/>
  <c r="O27" i="4" l="1"/>
  <c r="H26" i="4"/>
  <c r="AA45" i="1"/>
  <c r="BF204" i="2"/>
  <c r="BE204" i="2"/>
  <c r="BD204" i="2"/>
  <c r="AT204" i="2"/>
  <c r="AS204" i="2"/>
  <c r="AR204" i="2"/>
  <c r="AQ204" i="2"/>
  <c r="AP204" i="2"/>
  <c r="AO204" i="2"/>
  <c r="AN204" i="2"/>
  <c r="AM204" i="2"/>
  <c r="AL204" i="2"/>
  <c r="AK204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S190" i="1"/>
  <c r="R190" i="1"/>
  <c r="P190" i="1"/>
  <c r="O190" i="1"/>
  <c r="I190" i="1"/>
  <c r="I175" i="1"/>
  <c r="AB32" i="1"/>
  <c r="AA32" i="1"/>
  <c r="T190" i="1"/>
  <c r="AB21" i="1"/>
  <c r="AA21" i="1"/>
  <c r="V58" i="1"/>
  <c r="V48" i="1"/>
  <c r="R175" i="1" s="1"/>
  <c r="V8" i="1"/>
  <c r="AB46" i="1"/>
  <c r="AA46" i="1"/>
  <c r="S175" i="1" l="1"/>
  <c r="P175" i="1"/>
  <c r="J175" i="1"/>
  <c r="N190" i="1"/>
  <c r="O175" i="1"/>
  <c r="O28" i="4"/>
  <c r="H27" i="4"/>
  <c r="M175" i="1"/>
  <c r="L175" i="1"/>
  <c r="K175" i="1"/>
  <c r="J190" i="1"/>
  <c r="T175" i="1"/>
  <c r="L190" i="1"/>
  <c r="N175" i="1"/>
  <c r="M190" i="1"/>
  <c r="K190" i="1"/>
  <c r="AB31" i="1"/>
  <c r="AA31" i="1"/>
  <c r="O29" i="4" l="1"/>
  <c r="H28" i="4"/>
  <c r="AB61" i="1"/>
  <c r="AA61" i="1"/>
  <c r="AB19" i="1"/>
  <c r="AA19" i="1"/>
  <c r="R87" i="4"/>
  <c r="O30" i="4" l="1"/>
  <c r="H29" i="4"/>
  <c r="AZ59" i="4"/>
  <c r="BD60" i="4" s="1"/>
  <c r="AX11" i="4" s="1"/>
  <c r="BA59" i="4"/>
  <c r="BB60" i="4" s="1"/>
  <c r="AY11" i="4" s="1"/>
  <c r="BE59" i="4"/>
  <c r="BI60" i="4" s="1"/>
  <c r="BA11" i="4" s="1"/>
  <c r="BF59" i="4"/>
  <c r="BG60" i="4" s="1"/>
  <c r="BB11" i="4" s="1"/>
  <c r="AA58" i="1"/>
  <c r="AA48" i="1"/>
  <c r="AA23" i="1"/>
  <c r="AA29" i="1"/>
  <c r="AA38" i="1"/>
  <c r="AA22" i="1"/>
  <c r="AA20" i="1"/>
  <c r="AA36" i="1"/>
  <c r="AA37" i="1"/>
  <c r="AA34" i="1"/>
  <c r="AA44" i="1"/>
  <c r="AA66" i="1"/>
  <c r="AA67" i="1"/>
  <c r="AA68" i="1"/>
  <c r="AA69" i="1"/>
  <c r="G156" i="1"/>
  <c r="F156" i="1"/>
  <c r="E156" i="1"/>
  <c r="AB44" i="1"/>
  <c r="AB29" i="1"/>
  <c r="AB34" i="1"/>
  <c r="AB63" i="1"/>
  <c r="AB47" i="1"/>
  <c r="AB67" i="1"/>
  <c r="AB66" i="1"/>
  <c r="AB65" i="1"/>
  <c r="AB58" i="1"/>
  <c r="AB69" i="1"/>
  <c r="AB68" i="1"/>
  <c r="AB20" i="1"/>
  <c r="AB36" i="1"/>
  <c r="AB23" i="1"/>
  <c r="AB62" i="1"/>
  <c r="AB37" i="1"/>
  <c r="AB22" i="1"/>
  <c r="AB38" i="1"/>
  <c r="AB49" i="1"/>
  <c r="AB45" i="1"/>
  <c r="AB48" i="1"/>
  <c r="N156" i="1"/>
  <c r="AA160" i="1"/>
  <c r="BD12" i="2"/>
  <c r="BE12" i="2"/>
  <c r="DQ30" i="2"/>
  <c r="DP30" i="2"/>
  <c r="DQ29" i="2"/>
  <c r="DP29" i="2"/>
  <c r="DQ28" i="2"/>
  <c r="DP28" i="2"/>
  <c r="DQ27" i="2"/>
  <c r="DP27" i="2"/>
  <c r="DQ26" i="2"/>
  <c r="DP26" i="2"/>
  <c r="DQ25" i="2"/>
  <c r="DP25" i="2"/>
  <c r="DQ24" i="2"/>
  <c r="DP24" i="2"/>
  <c r="DQ23" i="2"/>
  <c r="DP23" i="2"/>
  <c r="DQ22" i="2"/>
  <c r="DP22" i="2"/>
  <c r="DQ21" i="2"/>
  <c r="DP21" i="2"/>
  <c r="DQ20" i="2"/>
  <c r="DP20" i="2"/>
  <c r="DQ19" i="2"/>
  <c r="DP19" i="2"/>
  <c r="DQ18" i="2"/>
  <c r="DP18" i="2"/>
  <c r="DQ17" i="2"/>
  <c r="DP17" i="2"/>
  <c r="DQ16" i="2"/>
  <c r="DP16" i="2"/>
  <c r="DQ15" i="2"/>
  <c r="DP15" i="2"/>
  <c r="DQ14" i="2"/>
  <c r="DP14" i="2"/>
  <c r="DQ13" i="2"/>
  <c r="DP13" i="2"/>
  <c r="DQ12" i="2"/>
  <c r="DP12" i="2"/>
  <c r="DQ11" i="2"/>
  <c r="DP11" i="2"/>
  <c r="DQ10" i="2"/>
  <c r="DP10" i="2"/>
  <c r="AT59" i="4"/>
  <c r="AF87" i="4"/>
  <c r="AK25" i="4"/>
  <c r="AK18" i="4"/>
  <c r="AK17" i="4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T11" i="2"/>
  <c r="AT10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BC11" i="4" l="1"/>
  <c r="AZ11" i="4"/>
  <c r="DP40" i="2"/>
  <c r="O31" i="4"/>
  <c r="H30" i="4"/>
  <c r="FA11" i="2"/>
  <c r="FA25" i="2"/>
  <c r="BH59" i="4"/>
  <c r="BC59" i="4"/>
  <c r="DP39" i="2"/>
  <c r="FA21" i="2"/>
  <c r="FA17" i="2"/>
  <c r="FA27" i="2"/>
  <c r="FA18" i="2"/>
  <c r="FA28" i="2"/>
  <c r="FA20" i="2"/>
  <c r="DQ40" i="2"/>
  <c r="FA19" i="2"/>
  <c r="FA29" i="2"/>
  <c r="DQ43" i="2"/>
  <c r="DQ53" i="2"/>
  <c r="DQ54" i="2"/>
  <c r="DQ37" i="2"/>
  <c r="DQ47" i="2"/>
  <c r="FA13" i="2"/>
  <c r="FA23" i="2"/>
  <c r="DP41" i="2"/>
  <c r="FA12" i="2"/>
  <c r="FA22" i="2"/>
  <c r="D156" i="1"/>
  <c r="AA156" i="1" s="1"/>
  <c r="FA10" i="2"/>
  <c r="DQ44" i="2"/>
  <c r="FA30" i="2"/>
  <c r="DQ36" i="2"/>
  <c r="DQ46" i="2"/>
  <c r="DQ49" i="2"/>
  <c r="DQ41" i="2"/>
  <c r="DQ42" i="2"/>
  <c r="DQ52" i="2"/>
  <c r="FA14" i="2"/>
  <c r="DQ39" i="2"/>
  <c r="FA15" i="2"/>
  <c r="FA16" i="2"/>
  <c r="FA24" i="2"/>
  <c r="FA26" i="2"/>
  <c r="DP51" i="2"/>
  <c r="AB8" i="1"/>
  <c r="DQ45" i="2"/>
  <c r="DP49" i="2"/>
  <c r="DQ51" i="2"/>
  <c r="DQ35" i="2"/>
  <c r="DP50" i="2"/>
  <c r="DQ38" i="2"/>
  <c r="DP48" i="2"/>
  <c r="DQ48" i="2"/>
  <c r="DQ50" i="2"/>
  <c r="DP46" i="2"/>
  <c r="DQ31" i="2"/>
  <c r="DP37" i="2"/>
  <c r="DP47" i="2"/>
  <c r="DP38" i="2"/>
  <c r="H31" i="4" l="1"/>
  <c r="O32" i="4"/>
  <c r="FA32" i="2"/>
  <c r="DQ56" i="2"/>
  <c r="DP35" i="2"/>
  <c r="DP31" i="2"/>
  <c r="DP54" i="2"/>
  <c r="DP44" i="2"/>
  <c r="DP53" i="2"/>
  <c r="DP43" i="2"/>
  <c r="DQ55" i="2"/>
  <c r="DP42" i="2"/>
  <c r="DP52" i="2"/>
  <c r="DP36" i="2"/>
  <c r="DP45" i="2"/>
  <c r="O33" i="4" l="1"/>
  <c r="O34" i="4" s="1"/>
  <c r="O35" i="4" s="1"/>
  <c r="O36" i="4" s="1"/>
  <c r="O37" i="4" s="1"/>
  <c r="H32" i="4"/>
  <c r="DP56" i="2"/>
  <c r="DP55" i="2"/>
  <c r="H33" i="4" l="1"/>
  <c r="BF198" i="2"/>
  <c r="BE198" i="2"/>
  <c r="BD198" i="2"/>
  <c r="AT198" i="2"/>
  <c r="AS198" i="2"/>
  <c r="AR198" i="2"/>
  <c r="AQ198" i="2"/>
  <c r="AP198" i="2"/>
  <c r="AO198" i="2"/>
  <c r="AN198" i="2"/>
  <c r="AM198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BF193" i="2"/>
  <c r="BE193" i="2"/>
  <c r="BD193" i="2"/>
  <c r="AT193" i="2"/>
  <c r="AS193" i="2"/>
  <c r="AR193" i="2"/>
  <c r="AQ193" i="2"/>
  <c r="AP193" i="2"/>
  <c r="AO193" i="2"/>
  <c r="AN193" i="2"/>
  <c r="AM193" i="2"/>
  <c r="AL193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BF188" i="2"/>
  <c r="BE188" i="2"/>
  <c r="BD188" i="2"/>
  <c r="AT188" i="2"/>
  <c r="AS188" i="2"/>
  <c r="AR188" i="2"/>
  <c r="AQ188" i="2"/>
  <c r="AP188" i="2"/>
  <c r="AO188" i="2"/>
  <c r="AN188" i="2"/>
  <c r="AM188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AM56" i="4"/>
  <c r="BF183" i="2"/>
  <c r="BE183" i="2"/>
  <c r="BD183" i="2"/>
  <c r="AT183" i="2"/>
  <c r="AS183" i="2"/>
  <c r="AR183" i="2"/>
  <c r="AQ183" i="2"/>
  <c r="AP183" i="2"/>
  <c r="AO183" i="2"/>
  <c r="AN183" i="2"/>
  <c r="AM183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BF178" i="2"/>
  <c r="BE178" i="2"/>
  <c r="BD178" i="2"/>
  <c r="AT178" i="2"/>
  <c r="AS178" i="2"/>
  <c r="AR178" i="2"/>
  <c r="AQ178" i="2"/>
  <c r="AP178" i="2"/>
  <c r="AO178" i="2"/>
  <c r="AN178" i="2"/>
  <c r="AM178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BF173" i="2"/>
  <c r="BE173" i="2"/>
  <c r="BD173" i="2"/>
  <c r="AT173" i="2"/>
  <c r="AS173" i="2"/>
  <c r="AR173" i="2"/>
  <c r="AQ173" i="2"/>
  <c r="AP173" i="2"/>
  <c r="AO173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BF168" i="2"/>
  <c r="BE168" i="2"/>
  <c r="BD168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BF137" i="2"/>
  <c r="BE137" i="2"/>
  <c r="BD137" i="2"/>
  <c r="AT137" i="2"/>
  <c r="AS137" i="2"/>
  <c r="AR137" i="2"/>
  <c r="AQ137" i="2"/>
  <c r="AP137" i="2"/>
  <c r="AO137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BF114" i="2"/>
  <c r="BE114" i="2"/>
  <c r="BD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BF82" i="2"/>
  <c r="BE82" i="2"/>
  <c r="BD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BF58" i="2"/>
  <c r="BE58" i="2"/>
  <c r="BD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BF33" i="2"/>
  <c r="BE33" i="2"/>
  <c r="BD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S55" i="2"/>
  <c r="AR55" i="2"/>
  <c r="AS54" i="2"/>
  <c r="AR54" i="2"/>
  <c r="AS53" i="2"/>
  <c r="AR53" i="2"/>
  <c r="AS52" i="2"/>
  <c r="AR52" i="2"/>
  <c r="AS51" i="2"/>
  <c r="AR51" i="2"/>
  <c r="AS50" i="2"/>
  <c r="AR50" i="2"/>
  <c r="AS49" i="2"/>
  <c r="AR49" i="2"/>
  <c r="AS48" i="2"/>
  <c r="AR48" i="2"/>
  <c r="AS47" i="2"/>
  <c r="AR47" i="2"/>
  <c r="AS46" i="2"/>
  <c r="AR46" i="2"/>
  <c r="AS45" i="2"/>
  <c r="AR45" i="2"/>
  <c r="AS44" i="2"/>
  <c r="AR44" i="2"/>
  <c r="AS43" i="2"/>
  <c r="AR43" i="2"/>
  <c r="AS42" i="2"/>
  <c r="AR42" i="2"/>
  <c r="AS41" i="2"/>
  <c r="AR41" i="2"/>
  <c r="AS40" i="2"/>
  <c r="AR40" i="2"/>
  <c r="AS39" i="2"/>
  <c r="AR39" i="2"/>
  <c r="AS38" i="2"/>
  <c r="AR38" i="2"/>
  <c r="AS37" i="2"/>
  <c r="AR37" i="2"/>
  <c r="AS36" i="2"/>
  <c r="AR36" i="2"/>
  <c r="AS35" i="2"/>
  <c r="AS59" i="2" s="1"/>
  <c r="AR35" i="2"/>
  <c r="AR59" i="2" s="1"/>
  <c r="H34" i="4" l="1"/>
  <c r="AS68" i="2"/>
  <c r="AS78" i="2"/>
  <c r="AS63" i="2"/>
  <c r="AS62" i="2"/>
  <c r="AR73" i="2"/>
  <c r="AR65" i="2"/>
  <c r="AR75" i="2"/>
  <c r="AS74" i="2"/>
  <c r="AR62" i="2"/>
  <c r="AR72" i="2"/>
  <c r="AS72" i="2"/>
  <c r="AS64" i="2"/>
  <c r="AS66" i="2"/>
  <c r="AS65" i="2"/>
  <c r="AS69" i="2"/>
  <c r="AS60" i="2"/>
  <c r="AS70" i="2"/>
  <c r="AS71" i="2"/>
  <c r="AS79" i="2"/>
  <c r="AS61" i="2"/>
  <c r="AS75" i="2"/>
  <c r="AS76" i="2"/>
  <c r="AS73" i="2"/>
  <c r="AR66" i="2"/>
  <c r="AR78" i="2"/>
  <c r="AR79" i="2"/>
  <c r="AR60" i="2"/>
  <c r="AR169" i="2" s="1"/>
  <c r="AR70" i="2"/>
  <c r="AR63" i="2"/>
  <c r="AR61" i="2"/>
  <c r="AR71" i="2"/>
  <c r="AR76" i="2"/>
  <c r="AR67" i="2"/>
  <c r="AR68" i="2"/>
  <c r="AR69" i="2"/>
  <c r="AR74" i="2"/>
  <c r="AR64" i="2"/>
  <c r="AR88" i="2" s="1"/>
  <c r="AS199" i="2"/>
  <c r="AR199" i="2"/>
  <c r="AR77" i="2"/>
  <c r="AS67" i="2"/>
  <c r="AS77" i="2"/>
  <c r="H177" i="1"/>
  <c r="J158" i="1"/>
  <c r="J156" i="1"/>
  <c r="EW15" i="2"/>
  <c r="EW14" i="2"/>
  <c r="EW13" i="2"/>
  <c r="EW12" i="2"/>
  <c r="EW11" i="2"/>
  <c r="DO30" i="2"/>
  <c r="DN30" i="2"/>
  <c r="DO29" i="2"/>
  <c r="DN29" i="2"/>
  <c r="DO28" i="2"/>
  <c r="DN28" i="2"/>
  <c r="DO27" i="2"/>
  <c r="DN27" i="2"/>
  <c r="DO26" i="2"/>
  <c r="DN26" i="2"/>
  <c r="DO25" i="2"/>
  <c r="DN25" i="2"/>
  <c r="DO24" i="2"/>
  <c r="DN24" i="2"/>
  <c r="DO23" i="2"/>
  <c r="DN23" i="2"/>
  <c r="DO22" i="2"/>
  <c r="DN22" i="2"/>
  <c r="DO21" i="2"/>
  <c r="DN21" i="2"/>
  <c r="DO20" i="2"/>
  <c r="DN20" i="2"/>
  <c r="DO19" i="2"/>
  <c r="DN19" i="2"/>
  <c r="DO18" i="2"/>
  <c r="DN18" i="2"/>
  <c r="DO17" i="2"/>
  <c r="DN17" i="2"/>
  <c r="DO16" i="2"/>
  <c r="DN16" i="2"/>
  <c r="DO15" i="2"/>
  <c r="DN15" i="2"/>
  <c r="DO14" i="2"/>
  <c r="DN14" i="2"/>
  <c r="DO13" i="2"/>
  <c r="DN13" i="2"/>
  <c r="DO12" i="2"/>
  <c r="DN12" i="2"/>
  <c r="DO11" i="2"/>
  <c r="DN11" i="2"/>
  <c r="DO10" i="2"/>
  <c r="DN10" i="2"/>
  <c r="DM30" i="2"/>
  <c r="DL30" i="2"/>
  <c r="DM29" i="2"/>
  <c r="DL29" i="2"/>
  <c r="DM28" i="2"/>
  <c r="DL28" i="2"/>
  <c r="DM27" i="2"/>
  <c r="DL27" i="2"/>
  <c r="DM26" i="2"/>
  <c r="DL26" i="2"/>
  <c r="DM25" i="2"/>
  <c r="DL25" i="2"/>
  <c r="DM24" i="2"/>
  <c r="DL24" i="2"/>
  <c r="DM23" i="2"/>
  <c r="DL23" i="2"/>
  <c r="DM22" i="2"/>
  <c r="DL22" i="2"/>
  <c r="DM21" i="2"/>
  <c r="DL21" i="2"/>
  <c r="DM20" i="2"/>
  <c r="DL20" i="2"/>
  <c r="DM19" i="2"/>
  <c r="DL19" i="2"/>
  <c r="DM18" i="2"/>
  <c r="DL18" i="2"/>
  <c r="DM17" i="2"/>
  <c r="DL17" i="2"/>
  <c r="DM16" i="2"/>
  <c r="DL16" i="2"/>
  <c r="DM10" i="2"/>
  <c r="DL10" i="2"/>
  <c r="H181" i="1"/>
  <c r="AS95" i="2" l="1"/>
  <c r="AS93" i="2"/>
  <c r="AR91" i="2"/>
  <c r="AR95" i="2"/>
  <c r="AR98" i="2"/>
  <c r="AR92" i="2"/>
  <c r="AS88" i="2"/>
  <c r="AR96" i="2"/>
  <c r="AS98" i="2"/>
  <c r="AR97" i="2"/>
  <c r="AS101" i="2"/>
  <c r="AS91" i="2"/>
  <c r="AS99" i="2"/>
  <c r="AS92" i="2"/>
  <c r="AS94" i="2"/>
  <c r="AS89" i="2"/>
  <c r="AR100" i="2"/>
  <c r="AR99" i="2"/>
  <c r="AR89" i="2"/>
  <c r="AS100" i="2"/>
  <c r="AR101" i="2"/>
  <c r="AR93" i="2"/>
  <c r="AS90" i="2"/>
  <c r="AS96" i="2"/>
  <c r="AR94" i="2"/>
  <c r="AR103" i="2"/>
  <c r="AR102" i="2"/>
  <c r="AR90" i="2"/>
  <c r="AS97" i="2"/>
  <c r="AS102" i="2"/>
  <c r="AS103" i="2"/>
  <c r="H35" i="4"/>
  <c r="AS184" i="2"/>
  <c r="AR205" i="2"/>
  <c r="AR206" i="2"/>
  <c r="AR184" i="2"/>
  <c r="AS205" i="2"/>
  <c r="AS206" i="2"/>
  <c r="EY25" i="2"/>
  <c r="AR174" i="2"/>
  <c r="EW21" i="2"/>
  <c r="EY20" i="2"/>
  <c r="EY30" i="2"/>
  <c r="EY10" i="2"/>
  <c r="AR179" i="2"/>
  <c r="AS194" i="2"/>
  <c r="AS171" i="2"/>
  <c r="AR189" i="2"/>
  <c r="AS176" i="2"/>
  <c r="AA164" i="1"/>
  <c r="AR185" i="2"/>
  <c r="AR191" i="2"/>
  <c r="AR200" i="2"/>
  <c r="DM47" i="2"/>
  <c r="AS175" i="2"/>
  <c r="AS195" i="2"/>
  <c r="EW23" i="2"/>
  <c r="AR195" i="2"/>
  <c r="DL54" i="2"/>
  <c r="DN43" i="2"/>
  <c r="AR180" i="2"/>
  <c r="AR201" i="2"/>
  <c r="AS196" i="2"/>
  <c r="AS186" i="2"/>
  <c r="EW18" i="2"/>
  <c r="AS200" i="2"/>
  <c r="AR196" i="2"/>
  <c r="EY11" i="2"/>
  <c r="EY21" i="2"/>
  <c r="AS179" i="2"/>
  <c r="AR171" i="2"/>
  <c r="EY13" i="2"/>
  <c r="AS169" i="2"/>
  <c r="AS189" i="2"/>
  <c r="AR190" i="2"/>
  <c r="EW10" i="2"/>
  <c r="AS174" i="2"/>
  <c r="AS170" i="2"/>
  <c r="AS180" i="2"/>
  <c r="AS190" i="2"/>
  <c r="AR194" i="2"/>
  <c r="AR175" i="2"/>
  <c r="AR170" i="2"/>
  <c r="AS202" i="2"/>
  <c r="AS181" i="2"/>
  <c r="AS201" i="2"/>
  <c r="AS191" i="2"/>
  <c r="AR202" i="2"/>
  <c r="AR181" i="2"/>
  <c r="AS185" i="2"/>
  <c r="AR176" i="2"/>
  <c r="AR186" i="2"/>
  <c r="DN49" i="2"/>
  <c r="EW17" i="2"/>
  <c r="EW19" i="2"/>
  <c r="EY28" i="2"/>
  <c r="EW20" i="2"/>
  <c r="DN47" i="2"/>
  <c r="DL41" i="2"/>
  <c r="DL51" i="2"/>
  <c r="DN40" i="2"/>
  <c r="DM41" i="2"/>
  <c r="EY26" i="2"/>
  <c r="DN41" i="2"/>
  <c r="EY16" i="2"/>
  <c r="DN53" i="2"/>
  <c r="DL47" i="2"/>
  <c r="J177" i="1"/>
  <c r="J194" i="1"/>
  <c r="J172" i="1"/>
  <c r="J173" i="1" s="1"/>
  <c r="DN37" i="2"/>
  <c r="EY12" i="2"/>
  <c r="DN39" i="2"/>
  <c r="EY14" i="2"/>
  <c r="EY24" i="2"/>
  <c r="EY17" i="2"/>
  <c r="EY27" i="2"/>
  <c r="DM54" i="2"/>
  <c r="DN52" i="2"/>
  <c r="DN51" i="2"/>
  <c r="EW30" i="2"/>
  <c r="DN44" i="2"/>
  <c r="DN54" i="2"/>
  <c r="EW25" i="2"/>
  <c r="EY23" i="2"/>
  <c r="DM42" i="2"/>
  <c r="DL52" i="2"/>
  <c r="DL43" i="2"/>
  <c r="DM52" i="2"/>
  <c r="EY15" i="2"/>
  <c r="EY19" i="2"/>
  <c r="EY22" i="2"/>
  <c r="EY18" i="2"/>
  <c r="EW24" i="2"/>
  <c r="DM43" i="2"/>
  <c r="EY29" i="2"/>
  <c r="EW22" i="2"/>
  <c r="DL44" i="2"/>
  <c r="DL53" i="2"/>
  <c r="DM44" i="2"/>
  <c r="DM53" i="2"/>
  <c r="DN42" i="2"/>
  <c r="DM50" i="2"/>
  <c r="DL42" i="2"/>
  <c r="EW26" i="2"/>
  <c r="EW28" i="2"/>
  <c r="EW29" i="2"/>
  <c r="EW27" i="2"/>
  <c r="DN31" i="2"/>
  <c r="DN45" i="2"/>
  <c r="EW16" i="2"/>
  <c r="DN46" i="2"/>
  <c r="DN50" i="2"/>
  <c r="DM51" i="2"/>
  <c r="DN35" i="2"/>
  <c r="DL50" i="2"/>
  <c r="DN48" i="2"/>
  <c r="DN38" i="2"/>
  <c r="DL46" i="2"/>
  <c r="DM46" i="2"/>
  <c r="DN36" i="2"/>
  <c r="DM49" i="2"/>
  <c r="DL49" i="2"/>
  <c r="DL45" i="2"/>
  <c r="DM45" i="2"/>
  <c r="DL48" i="2"/>
  <c r="DM48" i="2"/>
  <c r="H36" i="4" l="1"/>
  <c r="AS104" i="2"/>
  <c r="AS109" i="2"/>
  <c r="AR107" i="2"/>
  <c r="AR104" i="2"/>
  <c r="AR105" i="2"/>
  <c r="AR109" i="2"/>
  <c r="AS105" i="2"/>
  <c r="AS107" i="2"/>
  <c r="EY32" i="2"/>
  <c r="EW32" i="2"/>
  <c r="DN56" i="2"/>
  <c r="DN55" i="2"/>
  <c r="AK16" i="4"/>
  <c r="U172" i="1"/>
  <c r="U156" i="1"/>
  <c r="N172" i="1"/>
  <c r="N158" i="1"/>
  <c r="AE87" i="4"/>
  <c r="AD87" i="4"/>
  <c r="AC87" i="4"/>
  <c r="AB87" i="4"/>
  <c r="AA87" i="4"/>
  <c r="Z87" i="4"/>
  <c r="Y87" i="4"/>
  <c r="X87" i="4"/>
  <c r="W87" i="4"/>
  <c r="V87" i="4"/>
  <c r="S87" i="4"/>
  <c r="Q87" i="4"/>
  <c r="P87" i="4"/>
  <c r="O87" i="4"/>
  <c r="M87" i="4"/>
  <c r="L87" i="4"/>
  <c r="K87" i="4"/>
  <c r="J87" i="4"/>
  <c r="I87" i="4"/>
  <c r="N87" i="4"/>
  <c r="AP55" i="2"/>
  <c r="AO55" i="2"/>
  <c r="AP54" i="2"/>
  <c r="AP48" i="2"/>
  <c r="AO48" i="2"/>
  <c r="AP47" i="2"/>
  <c r="AO47" i="2"/>
  <c r="AP46" i="2"/>
  <c r="AO46" i="2"/>
  <c r="AP45" i="2"/>
  <c r="AO45" i="2"/>
  <c r="AP44" i="2"/>
  <c r="AO41" i="2"/>
  <c r="AP40" i="2"/>
  <c r="AO40" i="2"/>
  <c r="AO39" i="2"/>
  <c r="AP35" i="2"/>
  <c r="AP59" i="2" s="1"/>
  <c r="AO35" i="2"/>
  <c r="AO59" i="2" s="1"/>
  <c r="AO54" i="2"/>
  <c r="AP53" i="2"/>
  <c r="AO53" i="2"/>
  <c r="AP52" i="2"/>
  <c r="AO52" i="2"/>
  <c r="AP51" i="2"/>
  <c r="AO51" i="2"/>
  <c r="AO44" i="2"/>
  <c r="AP42" i="2"/>
  <c r="AO42" i="2"/>
  <c r="AP41" i="2"/>
  <c r="AP39" i="2"/>
  <c r="AP38" i="2"/>
  <c r="AO38" i="2"/>
  <c r="AP37" i="2"/>
  <c r="H37" i="4" l="1"/>
  <c r="AK8" i="4"/>
  <c r="AL8" i="4" s="1"/>
  <c r="AS111" i="2"/>
  <c r="AR111" i="2"/>
  <c r="AP65" i="2"/>
  <c r="AO64" i="2"/>
  <c r="AP64" i="2"/>
  <c r="AP79" i="2"/>
  <c r="N181" i="1"/>
  <c r="U173" i="1"/>
  <c r="N173" i="1"/>
  <c r="N194" i="1"/>
  <c r="AP70" i="2"/>
  <c r="AP69" i="2"/>
  <c r="AP78" i="2"/>
  <c r="AP72" i="2"/>
  <c r="AP71" i="2"/>
  <c r="AO65" i="2"/>
  <c r="AO71" i="2"/>
  <c r="AO70" i="2"/>
  <c r="AO72" i="2"/>
  <c r="AO66" i="2"/>
  <c r="AP62" i="2"/>
  <c r="AO76" i="2"/>
  <c r="AO77" i="2"/>
  <c r="AP77" i="2"/>
  <c r="AO69" i="2"/>
  <c r="AO79" i="2"/>
  <c r="AP76" i="2"/>
  <c r="AO63" i="2"/>
  <c r="AP63" i="2"/>
  <c r="AO78" i="2"/>
  <c r="AP199" i="2"/>
  <c r="AP66" i="2"/>
  <c r="AO199" i="2"/>
  <c r="AP36" i="2"/>
  <c r="AP60" i="2" s="1"/>
  <c r="AP169" i="2" s="1"/>
  <c r="AO49" i="2"/>
  <c r="AP49" i="2"/>
  <c r="AO36" i="2"/>
  <c r="AO60" i="2" s="1"/>
  <c r="AO43" i="2"/>
  <c r="AO37" i="2"/>
  <c r="AO50" i="2"/>
  <c r="AP43" i="2"/>
  <c r="AP50" i="2"/>
  <c r="AP75" i="2" s="1"/>
  <c r="H42" i="4" l="1"/>
  <c r="AP73" i="2"/>
  <c r="AO73" i="2"/>
  <c r="AP67" i="2"/>
  <c r="AO67" i="2"/>
  <c r="H38" i="4"/>
  <c r="AO61" i="2"/>
  <c r="AO179" i="2" s="1"/>
  <c r="AO68" i="2"/>
  <c r="J181" i="1"/>
  <c r="N177" i="1"/>
  <c r="AP171" i="2"/>
  <c r="AP174" i="2"/>
  <c r="AP61" i="2"/>
  <c r="AP189" i="2" s="1"/>
  <c r="AP191" i="2"/>
  <c r="AO171" i="2"/>
  <c r="AP202" i="2"/>
  <c r="AP181" i="2"/>
  <c r="AO174" i="2"/>
  <c r="AO62" i="2"/>
  <c r="AO202" i="2"/>
  <c r="AO181" i="2"/>
  <c r="AP68" i="2"/>
  <c r="AO169" i="2"/>
  <c r="AP74" i="2"/>
  <c r="AO74" i="2"/>
  <c r="AO75" i="2"/>
  <c r="AP98" i="2" l="1"/>
  <c r="AP91" i="2"/>
  <c r="AO89" i="2"/>
  <c r="AP99" i="2"/>
  <c r="AP94" i="2"/>
  <c r="AO103" i="2"/>
  <c r="AP96" i="2"/>
  <c r="AO100" i="2"/>
  <c r="AO88" i="2"/>
  <c r="AP101" i="2"/>
  <c r="AO96" i="2"/>
  <c r="AP93" i="2"/>
  <c r="AP95" i="2"/>
  <c r="AO90" i="2"/>
  <c r="AO92" i="2"/>
  <c r="AO101" i="2"/>
  <c r="AO91" i="2"/>
  <c r="AO93" i="2"/>
  <c r="AO102" i="2"/>
  <c r="AP97" i="2"/>
  <c r="AP88" i="2"/>
  <c r="AO99" i="2"/>
  <c r="AP90" i="2"/>
  <c r="AO95" i="2"/>
  <c r="AO94" i="2"/>
  <c r="AP100" i="2"/>
  <c r="AO98" i="2"/>
  <c r="AO97" i="2"/>
  <c r="AP92" i="2"/>
  <c r="AP89" i="2"/>
  <c r="AP103" i="2"/>
  <c r="AP102" i="2"/>
  <c r="H43" i="4"/>
  <c r="H39" i="4"/>
  <c r="AP206" i="2"/>
  <c r="AO206" i="2"/>
  <c r="AP205" i="2"/>
  <c r="AO184" i="2"/>
  <c r="AP184" i="2"/>
  <c r="AO205" i="2"/>
  <c r="AP200" i="2"/>
  <c r="AO195" i="2"/>
  <c r="AO190" i="2"/>
  <c r="AP179" i="2"/>
  <c r="AO170" i="2"/>
  <c r="AO189" i="2"/>
  <c r="AO175" i="2"/>
  <c r="AP196" i="2"/>
  <c r="AP194" i="2"/>
  <c r="AO196" i="2"/>
  <c r="AP201" i="2"/>
  <c r="AP175" i="2"/>
  <c r="AP190" i="2"/>
  <c r="AO185" i="2"/>
  <c r="AO180" i="2"/>
  <c r="AO200" i="2"/>
  <c r="AO191" i="2"/>
  <c r="AO201" i="2"/>
  <c r="AP170" i="2"/>
  <c r="AP195" i="2"/>
  <c r="AP186" i="2"/>
  <c r="AP176" i="2"/>
  <c r="AO186" i="2"/>
  <c r="AO176" i="2"/>
  <c r="AP180" i="2"/>
  <c r="AP185" i="2"/>
  <c r="AO194" i="2"/>
  <c r="H44" i="4" l="1"/>
  <c r="H40" i="4"/>
  <c r="AO105" i="2"/>
  <c r="AP104" i="2"/>
  <c r="AP107" i="2"/>
  <c r="AO104" i="2"/>
  <c r="AO107" i="2"/>
  <c r="AO109" i="2"/>
  <c r="AP105" i="2"/>
  <c r="AP109" i="2"/>
  <c r="H45" i="4" l="1"/>
  <c r="H41" i="4"/>
  <c r="AO111" i="2"/>
  <c r="AP111" i="2"/>
  <c r="H47" i="4" l="1"/>
  <c r="H46" i="4"/>
  <c r="Q16" i="4"/>
  <c r="R16" i="4"/>
  <c r="I17" i="4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BL58" i="4"/>
  <c r="BL57" i="4"/>
  <c r="BJ58" i="4"/>
  <c r="BK58" i="4" s="1"/>
  <c r="BD11" i="2"/>
  <c r="BE11" i="2"/>
  <c r="AZ58" i="4"/>
  <c r="BA58" i="4"/>
  <c r="BE58" i="4"/>
  <c r="BF58" i="4"/>
  <c r="AT58" i="4"/>
  <c r="I35" i="4" l="1"/>
  <c r="I36" i="4" s="1"/>
  <c r="I37" i="4" s="1"/>
  <c r="I38" i="4" s="1"/>
  <c r="I39" i="4" s="1"/>
  <c r="I40" i="4" s="1"/>
  <c r="I41" i="4" s="1"/>
  <c r="AI7" i="4"/>
  <c r="BH58" i="4"/>
  <c r="BC58" i="4"/>
  <c r="BG59" i="4"/>
  <c r="BB8" i="4" s="1"/>
  <c r="BB59" i="4"/>
  <c r="BI59" i="4"/>
  <c r="BA8" i="4" s="1"/>
  <c r="BD59" i="4"/>
  <c r="AX8" i="4" s="1"/>
  <c r="BN58" i="4"/>
  <c r="BO58" i="4" s="1"/>
  <c r="BM58" i="4"/>
  <c r="BP58" i="4"/>
  <c r="BQ58" i="4" s="1"/>
  <c r="I42" i="4" l="1"/>
  <c r="I43" i="4" s="1"/>
  <c r="I44" i="4" s="1"/>
  <c r="I45" i="4" s="1"/>
  <c r="I46" i="4" s="1"/>
  <c r="I47" i="4" s="1"/>
  <c r="D25" i="4" s="1"/>
  <c r="AY8" i="4"/>
  <c r="AZ8" i="4" s="1"/>
  <c r="BC8" i="4"/>
  <c r="AU58" i="4"/>
  <c r="AB164" i="1"/>
  <c r="S186" i="1"/>
  <c r="AB160" i="1"/>
  <c r="V156" i="1"/>
  <c r="W156" i="1"/>
  <c r="AB156" i="1" l="1"/>
  <c r="J186" i="1"/>
  <c r="S177" i="1"/>
  <c r="J184" i="1"/>
  <c r="N186" i="1"/>
  <c r="S181" i="1"/>
  <c r="N184" i="1"/>
  <c r="O177" i="1" l="1"/>
  <c r="O182" i="1"/>
  <c r="P177" i="1"/>
  <c r="P183" i="1"/>
  <c r="R177" i="1"/>
  <c r="R185" i="1"/>
  <c r="R181" i="1"/>
  <c r="J185" i="1"/>
  <c r="P181" i="1"/>
  <c r="J183" i="1"/>
  <c r="O181" i="1"/>
  <c r="J182" i="1"/>
  <c r="N182" i="1"/>
  <c r="N183" i="1"/>
  <c r="N185" i="1"/>
  <c r="R182" i="1"/>
  <c r="R184" i="1"/>
  <c r="R186" i="1"/>
  <c r="R183" i="1"/>
  <c r="I90" i="4" l="1"/>
  <c r="I58" i="4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10" i="2"/>
  <c r="Q17" i="4" l="1"/>
  <c r="R17" i="4"/>
  <c r="R18" i="4" l="1"/>
  <c r="Q18" i="4"/>
  <c r="AM55" i="2"/>
  <c r="AL55" i="2"/>
  <c r="AM54" i="2"/>
  <c r="AL54" i="2"/>
  <c r="AM53" i="2"/>
  <c r="AL53" i="2"/>
  <c r="AM52" i="2"/>
  <c r="AL52" i="2"/>
  <c r="AM51" i="2"/>
  <c r="AL51" i="2"/>
  <c r="AM50" i="2"/>
  <c r="AL50" i="2"/>
  <c r="AM49" i="2"/>
  <c r="AL49" i="2"/>
  <c r="AM48" i="2"/>
  <c r="AL48" i="2"/>
  <c r="AM47" i="2"/>
  <c r="AL47" i="2"/>
  <c r="AM46" i="2"/>
  <c r="AL46" i="2"/>
  <c r="AM45" i="2"/>
  <c r="AL45" i="2"/>
  <c r="AM44" i="2"/>
  <c r="AL44" i="2"/>
  <c r="AM43" i="2"/>
  <c r="AL43" i="2"/>
  <c r="AM42" i="2"/>
  <c r="AL42" i="2"/>
  <c r="AM41" i="2"/>
  <c r="AL41" i="2"/>
  <c r="AM35" i="2"/>
  <c r="AL35" i="2"/>
  <c r="AU6" i="4"/>
  <c r="DK30" i="2"/>
  <c r="DJ30" i="2"/>
  <c r="DK29" i="2"/>
  <c r="DJ29" i="2"/>
  <c r="DK28" i="2"/>
  <c r="DJ28" i="2"/>
  <c r="DK27" i="2"/>
  <c r="DJ27" i="2"/>
  <c r="DK26" i="2"/>
  <c r="DJ26" i="2"/>
  <c r="DK25" i="2"/>
  <c r="DJ25" i="2"/>
  <c r="DK24" i="2"/>
  <c r="DJ24" i="2"/>
  <c r="DK23" i="2"/>
  <c r="DJ23" i="2"/>
  <c r="DK22" i="2"/>
  <c r="DJ22" i="2"/>
  <c r="DK21" i="2"/>
  <c r="DJ21" i="2"/>
  <c r="DK20" i="2"/>
  <c r="DJ20" i="2"/>
  <c r="DK19" i="2"/>
  <c r="DJ19" i="2"/>
  <c r="DK18" i="2"/>
  <c r="DJ18" i="2"/>
  <c r="DK17" i="2"/>
  <c r="DJ17" i="2"/>
  <c r="DK16" i="2"/>
  <c r="DJ16" i="2"/>
  <c r="DK15" i="2"/>
  <c r="DJ15" i="2"/>
  <c r="DK14" i="2"/>
  <c r="DJ14" i="2"/>
  <c r="DK13" i="2"/>
  <c r="DJ13" i="2"/>
  <c r="DK12" i="2"/>
  <c r="DJ12" i="2"/>
  <c r="DK11" i="2"/>
  <c r="DJ11" i="2"/>
  <c r="DK10" i="2"/>
  <c r="DJ10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AL59" i="2" l="1"/>
  <c r="AM59" i="2"/>
  <c r="R19" i="4"/>
  <c r="Q19" i="4"/>
  <c r="AM74" i="2"/>
  <c r="AL69" i="2"/>
  <c r="AL75" i="2"/>
  <c r="AM76" i="2"/>
  <c r="AL73" i="2"/>
  <c r="AL76" i="2"/>
  <c r="AM68" i="2"/>
  <c r="AM78" i="2"/>
  <c r="AM75" i="2"/>
  <c r="AM66" i="2"/>
  <c r="AL79" i="2"/>
  <c r="AL66" i="2"/>
  <c r="AL71" i="2"/>
  <c r="AL95" i="2" s="1"/>
  <c r="AM71" i="2"/>
  <c r="AM79" i="2"/>
  <c r="AM70" i="2"/>
  <c r="AM94" i="2" s="1"/>
  <c r="AM72" i="2"/>
  <c r="AM73" i="2"/>
  <c r="AM69" i="2"/>
  <c r="AM67" i="2"/>
  <c r="AM77" i="2"/>
  <c r="AL67" i="2"/>
  <c r="AL68" i="2"/>
  <c r="AL78" i="2"/>
  <c r="AL74" i="2"/>
  <c r="AL70" i="2"/>
  <c r="AL77" i="2"/>
  <c r="AL72" i="2"/>
  <c r="EU11" i="2"/>
  <c r="EU18" i="2"/>
  <c r="EU28" i="2"/>
  <c r="DJ35" i="2"/>
  <c r="DJ45" i="2"/>
  <c r="DK35" i="2"/>
  <c r="DK45" i="2"/>
  <c r="DK42" i="2"/>
  <c r="DK52" i="2"/>
  <c r="DK43" i="2"/>
  <c r="EU19" i="2"/>
  <c r="EU29" i="2"/>
  <c r="DJ38" i="2"/>
  <c r="DK38" i="2"/>
  <c r="DJ39" i="2"/>
  <c r="DJ49" i="2"/>
  <c r="DK49" i="2"/>
  <c r="DJ37" i="2"/>
  <c r="DJ47" i="2"/>
  <c r="DK47" i="2"/>
  <c r="DJ40" i="2"/>
  <c r="DK53" i="2"/>
  <c r="DK36" i="2"/>
  <c r="DK46" i="2"/>
  <c r="DJ44" i="2"/>
  <c r="DK41" i="2"/>
  <c r="DK51" i="2"/>
  <c r="DJ42" i="2"/>
  <c r="DJ52" i="2"/>
  <c r="DJ43" i="2"/>
  <c r="DK31" i="2"/>
  <c r="DJ54" i="2"/>
  <c r="DK54" i="2"/>
  <c r="DK40" i="2"/>
  <c r="DJ53" i="2"/>
  <c r="DK50" i="2"/>
  <c r="DK44" i="2"/>
  <c r="EU16" i="2"/>
  <c r="DJ31" i="2"/>
  <c r="DK39" i="2"/>
  <c r="DJ41" i="2"/>
  <c r="EU15" i="2"/>
  <c r="EU25" i="2"/>
  <c r="DJ50" i="2"/>
  <c r="EU26" i="2"/>
  <c r="DJ51" i="2"/>
  <c r="DK37" i="2"/>
  <c r="EU21" i="2"/>
  <c r="DJ46" i="2"/>
  <c r="EU13" i="2"/>
  <c r="EU23" i="2"/>
  <c r="DJ48" i="2"/>
  <c r="DK48" i="2"/>
  <c r="DJ36" i="2"/>
  <c r="EU10" i="2"/>
  <c r="EU20" i="2"/>
  <c r="EU30" i="2"/>
  <c r="EU12" i="2"/>
  <c r="EU22" i="2"/>
  <c r="EU17" i="2"/>
  <c r="EU27" i="2"/>
  <c r="EU24" i="2"/>
  <c r="EU14" i="2"/>
  <c r="AM88" i="2" l="1"/>
  <c r="AL88" i="2"/>
  <c r="AM92" i="2"/>
  <c r="AM95" i="2"/>
  <c r="AM90" i="2"/>
  <c r="AM89" i="2"/>
  <c r="AL94" i="2"/>
  <c r="AL92" i="2"/>
  <c r="AL89" i="2"/>
  <c r="AL90" i="2"/>
  <c r="AL93" i="2"/>
  <c r="AM91" i="2"/>
  <c r="AM93" i="2"/>
  <c r="AL91" i="2"/>
  <c r="AL206" i="2"/>
  <c r="AM205" i="2"/>
  <c r="AM206" i="2"/>
  <c r="AL205" i="2"/>
  <c r="AM103" i="2"/>
  <c r="AM102" i="2"/>
  <c r="AL101" i="2"/>
  <c r="AL100" i="2"/>
  <c r="AL97" i="2"/>
  <c r="AL99" i="2"/>
  <c r="AL98" i="2"/>
  <c r="AM100" i="2"/>
  <c r="AM97" i="2"/>
  <c r="AM101" i="2"/>
  <c r="AL103" i="2"/>
  <c r="AM99" i="2"/>
  <c r="AL96" i="2"/>
  <c r="AL102" i="2"/>
  <c r="AM98" i="2"/>
  <c r="AM96" i="2"/>
  <c r="Q20" i="4"/>
  <c r="R20" i="4"/>
  <c r="AM171" i="2"/>
  <c r="AL195" i="2"/>
  <c r="AL176" i="2"/>
  <c r="AL202" i="2"/>
  <c r="AL201" i="2"/>
  <c r="AL196" i="2"/>
  <c r="AL171" i="2"/>
  <c r="AM201" i="2"/>
  <c r="AL186" i="2"/>
  <c r="AM195" i="2"/>
  <c r="AL181" i="2"/>
  <c r="AM202" i="2"/>
  <c r="AM196" i="2"/>
  <c r="AM186" i="2"/>
  <c r="AM176" i="2"/>
  <c r="AM191" i="2"/>
  <c r="AM181" i="2"/>
  <c r="AL191" i="2"/>
  <c r="DK55" i="2"/>
  <c r="DK56" i="2"/>
  <c r="DJ55" i="2"/>
  <c r="EU32" i="2"/>
  <c r="DJ56" i="2"/>
  <c r="AL105" i="2" l="1"/>
  <c r="R21" i="4"/>
  <c r="Q21" i="4"/>
  <c r="AL104" i="2"/>
  <c r="AM104" i="2"/>
  <c r="AM109" i="2"/>
  <c r="AM105" i="2"/>
  <c r="AM107" i="2"/>
  <c r="AL107" i="2"/>
  <c r="AL109" i="2"/>
  <c r="M194" i="1"/>
  <c r="M180" i="1"/>
  <c r="I177" i="1" l="1"/>
  <c r="I176" i="1"/>
  <c r="J180" i="1"/>
  <c r="M177" i="1"/>
  <c r="I181" i="1"/>
  <c r="J176" i="1"/>
  <c r="N180" i="1"/>
  <c r="M181" i="1"/>
  <c r="N176" i="1"/>
  <c r="Q22" i="4"/>
  <c r="R22" i="4"/>
  <c r="AL111" i="2"/>
  <c r="AM111" i="2"/>
  <c r="R180" i="1"/>
  <c r="R176" i="1"/>
  <c r="AI40" i="2"/>
  <c r="AJ40" i="2"/>
  <c r="AI41" i="2"/>
  <c r="AJ41" i="2"/>
  <c r="AI42" i="2"/>
  <c r="AJ42" i="2"/>
  <c r="AJ55" i="2"/>
  <c r="AI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39" i="2"/>
  <c r="AI39" i="2"/>
  <c r="AJ38" i="2"/>
  <c r="AI38" i="2"/>
  <c r="AJ37" i="2"/>
  <c r="AI37" i="2"/>
  <c r="AJ36" i="2"/>
  <c r="AI36" i="2"/>
  <c r="AJ35" i="2"/>
  <c r="AJ59" i="2" s="1"/>
  <c r="AI35" i="2"/>
  <c r="AI59" i="2" s="1"/>
  <c r="AK23" i="2"/>
  <c r="AK22" i="2"/>
  <c r="AK18" i="2"/>
  <c r="AK17" i="2"/>
  <c r="AK16" i="2"/>
  <c r="AK13" i="2"/>
  <c r="AK12" i="2"/>
  <c r="AK11" i="2"/>
  <c r="AK10" i="2"/>
  <c r="AK14" i="2"/>
  <c r="AK15" i="2"/>
  <c r="AK19" i="2"/>
  <c r="AK20" i="2"/>
  <c r="AK21" i="2"/>
  <c r="AK24" i="2"/>
  <c r="AK25" i="2"/>
  <c r="AK26" i="2"/>
  <c r="AK27" i="2"/>
  <c r="AK28" i="2"/>
  <c r="AK29" i="2"/>
  <c r="AK30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O47" i="2" l="1"/>
  <c r="DO37" i="2"/>
  <c r="DO39" i="2"/>
  <c r="DO43" i="2"/>
  <c r="DO41" i="2"/>
  <c r="DO45" i="2"/>
  <c r="DO54" i="2"/>
  <c r="DO52" i="2"/>
  <c r="DO49" i="2"/>
  <c r="R23" i="4"/>
  <c r="Q23" i="4"/>
  <c r="AI63" i="2"/>
  <c r="AI76" i="2"/>
  <c r="AJ66" i="2"/>
  <c r="AI67" i="2"/>
  <c r="AI65" i="2"/>
  <c r="AJ63" i="2"/>
  <c r="AJ76" i="2"/>
  <c r="AI66" i="2"/>
  <c r="AI90" i="2" s="1"/>
  <c r="AJ67" i="2"/>
  <c r="AJ91" i="2" s="1"/>
  <c r="AI72" i="2"/>
  <c r="AI61" i="2"/>
  <c r="AI74" i="2"/>
  <c r="AJ61" i="2"/>
  <c r="AJ74" i="2"/>
  <c r="AJ68" i="2"/>
  <c r="AI69" i="2"/>
  <c r="AJ79" i="2"/>
  <c r="AI71" i="2"/>
  <c r="AJ65" i="2"/>
  <c r="AI77" i="2"/>
  <c r="AI68" i="2"/>
  <c r="AJ69" i="2"/>
  <c r="AJ70" i="2"/>
  <c r="AJ71" i="2"/>
  <c r="AJ77" i="2"/>
  <c r="AJ78" i="2"/>
  <c r="AI199" i="2"/>
  <c r="AJ64" i="2"/>
  <c r="AJ199" i="2"/>
  <c r="AJ72" i="2"/>
  <c r="AI64" i="2"/>
  <c r="AI60" i="2"/>
  <c r="AI73" i="2"/>
  <c r="AJ60" i="2"/>
  <c r="AJ73" i="2"/>
  <c r="AI70" i="2"/>
  <c r="AI79" i="2"/>
  <c r="AI62" i="2"/>
  <c r="AI75" i="2"/>
  <c r="AI78" i="2"/>
  <c r="AJ62" i="2"/>
  <c r="AJ75" i="2"/>
  <c r="AJ88" i="2" l="1"/>
  <c r="AI91" i="2"/>
  <c r="AJ99" i="2"/>
  <c r="AI89" i="2"/>
  <c r="AJ93" i="2"/>
  <c r="AI98" i="2"/>
  <c r="AJ102" i="2"/>
  <c r="AJ95" i="2"/>
  <c r="AJ90" i="2"/>
  <c r="AI92" i="2"/>
  <c r="AI102" i="2"/>
  <c r="AI101" i="2"/>
  <c r="AI99" i="2"/>
  <c r="AJ103" i="2"/>
  <c r="AI94" i="2"/>
  <c r="AJ97" i="2"/>
  <c r="AJ98" i="2"/>
  <c r="AI88" i="2"/>
  <c r="AJ100" i="2"/>
  <c r="AJ101" i="2"/>
  <c r="AJ94" i="2"/>
  <c r="AI100" i="2"/>
  <c r="AJ89" i="2"/>
  <c r="AI95" i="2"/>
  <c r="AI103" i="2"/>
  <c r="AI93" i="2"/>
  <c r="AJ92" i="2"/>
  <c r="AI97" i="2"/>
  <c r="AJ96" i="2"/>
  <c r="AI96" i="2"/>
  <c r="AI206" i="2"/>
  <c r="AJ205" i="2"/>
  <c r="AI205" i="2"/>
  <c r="AJ206" i="2"/>
  <c r="AJ184" i="2"/>
  <c r="AI184" i="2"/>
  <c r="DO42" i="2"/>
  <c r="DO36" i="2"/>
  <c r="DO31" i="2"/>
  <c r="DO35" i="2"/>
  <c r="DO44" i="2"/>
  <c r="DO40" i="2"/>
  <c r="DO46" i="2"/>
  <c r="DO53" i="2"/>
  <c r="DO38" i="2"/>
  <c r="DO51" i="2"/>
  <c r="DO50" i="2"/>
  <c r="DO48" i="2"/>
  <c r="R24" i="4"/>
  <c r="Q24" i="4"/>
  <c r="AI195" i="2"/>
  <c r="AI201" i="2"/>
  <c r="AI194" i="2"/>
  <c r="AI179" i="2"/>
  <c r="AJ195" i="2"/>
  <c r="AJ190" i="2"/>
  <c r="AI186" i="2"/>
  <c r="AJ200" i="2"/>
  <c r="AI190" i="2"/>
  <c r="AJ196" i="2"/>
  <c r="AJ171" i="2"/>
  <c r="AJ179" i="2"/>
  <c r="AI196" i="2"/>
  <c r="AJ194" i="2"/>
  <c r="AI176" i="2"/>
  <c r="AJ181" i="2"/>
  <c r="AJ202" i="2"/>
  <c r="AJ191" i="2"/>
  <c r="AI191" i="2"/>
  <c r="AI180" i="2"/>
  <c r="AI185" i="2"/>
  <c r="AI200" i="2"/>
  <c r="AJ169" i="2"/>
  <c r="AJ170" i="2"/>
  <c r="AJ175" i="2"/>
  <c r="AI174" i="2"/>
  <c r="AI170" i="2"/>
  <c r="AI175" i="2"/>
  <c r="AJ201" i="2"/>
  <c r="AJ189" i="2"/>
  <c r="AJ186" i="2"/>
  <c r="AJ176" i="2"/>
  <c r="AI181" i="2"/>
  <c r="AI202" i="2"/>
  <c r="AJ174" i="2"/>
  <c r="AI189" i="2"/>
  <c r="AJ180" i="2"/>
  <c r="AJ185" i="2"/>
  <c r="AI171" i="2"/>
  <c r="AI169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AG55" i="2"/>
  <c r="AF55" i="2"/>
  <c r="AD55" i="2"/>
  <c r="AC55" i="2"/>
  <c r="AA55" i="2"/>
  <c r="Z55" i="2"/>
  <c r="X55" i="2"/>
  <c r="W55" i="2"/>
  <c r="U55" i="2"/>
  <c r="T55" i="2"/>
  <c r="R55" i="2"/>
  <c r="Q55" i="2"/>
  <c r="O55" i="2"/>
  <c r="N55" i="2"/>
  <c r="L55" i="2"/>
  <c r="K55" i="2"/>
  <c r="I55" i="2"/>
  <c r="H55" i="2"/>
  <c r="F55" i="2"/>
  <c r="E55" i="2"/>
  <c r="AG54" i="2"/>
  <c r="AF54" i="2"/>
  <c r="AD54" i="2"/>
  <c r="AC54" i="2"/>
  <c r="AA54" i="2"/>
  <c r="Z54" i="2"/>
  <c r="X54" i="2"/>
  <c r="W54" i="2"/>
  <c r="U54" i="2"/>
  <c r="T54" i="2"/>
  <c r="R54" i="2"/>
  <c r="Q54" i="2"/>
  <c r="O54" i="2"/>
  <c r="N54" i="2"/>
  <c r="L54" i="2"/>
  <c r="K54" i="2"/>
  <c r="I54" i="2"/>
  <c r="H54" i="2"/>
  <c r="F54" i="2"/>
  <c r="E54" i="2"/>
  <c r="AG53" i="2"/>
  <c r="AF53" i="2"/>
  <c r="AD53" i="2"/>
  <c r="AC53" i="2"/>
  <c r="AA53" i="2"/>
  <c r="Z53" i="2"/>
  <c r="X53" i="2"/>
  <c r="W53" i="2"/>
  <c r="U53" i="2"/>
  <c r="T53" i="2"/>
  <c r="R53" i="2"/>
  <c r="Q53" i="2"/>
  <c r="O53" i="2"/>
  <c r="N53" i="2"/>
  <c r="L53" i="2"/>
  <c r="K53" i="2"/>
  <c r="I53" i="2"/>
  <c r="H53" i="2"/>
  <c r="F53" i="2"/>
  <c r="E53" i="2"/>
  <c r="AG52" i="2"/>
  <c r="AF52" i="2"/>
  <c r="AD52" i="2"/>
  <c r="AC52" i="2"/>
  <c r="AA52" i="2"/>
  <c r="Z52" i="2"/>
  <c r="X52" i="2"/>
  <c r="W52" i="2"/>
  <c r="U52" i="2"/>
  <c r="T52" i="2"/>
  <c r="R52" i="2"/>
  <c r="Q52" i="2"/>
  <c r="O52" i="2"/>
  <c r="N52" i="2"/>
  <c r="L52" i="2"/>
  <c r="K52" i="2"/>
  <c r="I52" i="2"/>
  <c r="H52" i="2"/>
  <c r="F52" i="2"/>
  <c r="E52" i="2"/>
  <c r="AG51" i="2"/>
  <c r="AF51" i="2"/>
  <c r="AD51" i="2"/>
  <c r="AC51" i="2"/>
  <c r="AA51" i="2"/>
  <c r="Z51" i="2"/>
  <c r="X51" i="2"/>
  <c r="W51" i="2"/>
  <c r="U51" i="2"/>
  <c r="T51" i="2"/>
  <c r="R51" i="2"/>
  <c r="Q51" i="2"/>
  <c r="O51" i="2"/>
  <c r="N51" i="2"/>
  <c r="L51" i="2"/>
  <c r="K51" i="2"/>
  <c r="I51" i="2"/>
  <c r="H51" i="2"/>
  <c r="F51" i="2"/>
  <c r="E51" i="2"/>
  <c r="AG50" i="2"/>
  <c r="AF50" i="2"/>
  <c r="AD50" i="2"/>
  <c r="AC50" i="2"/>
  <c r="AA50" i="2"/>
  <c r="Z50" i="2"/>
  <c r="X50" i="2"/>
  <c r="W50" i="2"/>
  <c r="U50" i="2"/>
  <c r="T50" i="2"/>
  <c r="R50" i="2"/>
  <c r="Q50" i="2"/>
  <c r="O50" i="2"/>
  <c r="N50" i="2"/>
  <c r="L50" i="2"/>
  <c r="K50" i="2"/>
  <c r="I50" i="2"/>
  <c r="H50" i="2"/>
  <c r="F50" i="2"/>
  <c r="E50" i="2"/>
  <c r="AG49" i="2"/>
  <c r="AF49" i="2"/>
  <c r="AD49" i="2"/>
  <c r="AC49" i="2"/>
  <c r="AA49" i="2"/>
  <c r="Z49" i="2"/>
  <c r="X49" i="2"/>
  <c r="W49" i="2"/>
  <c r="U49" i="2"/>
  <c r="T49" i="2"/>
  <c r="R49" i="2"/>
  <c r="Q49" i="2"/>
  <c r="O49" i="2"/>
  <c r="N49" i="2"/>
  <c r="L49" i="2"/>
  <c r="K49" i="2"/>
  <c r="I49" i="2"/>
  <c r="H49" i="2"/>
  <c r="F49" i="2"/>
  <c r="E49" i="2"/>
  <c r="AG48" i="2"/>
  <c r="AF48" i="2"/>
  <c r="AD48" i="2"/>
  <c r="AC48" i="2"/>
  <c r="AA48" i="2"/>
  <c r="Z48" i="2"/>
  <c r="X48" i="2"/>
  <c r="W48" i="2"/>
  <c r="U48" i="2"/>
  <c r="T48" i="2"/>
  <c r="R48" i="2"/>
  <c r="Q48" i="2"/>
  <c r="O48" i="2"/>
  <c r="N48" i="2"/>
  <c r="L48" i="2"/>
  <c r="K48" i="2"/>
  <c r="I48" i="2"/>
  <c r="H48" i="2"/>
  <c r="F48" i="2"/>
  <c r="E48" i="2"/>
  <c r="AG47" i="2"/>
  <c r="AF47" i="2"/>
  <c r="AD47" i="2"/>
  <c r="AC47" i="2"/>
  <c r="AA47" i="2"/>
  <c r="Z47" i="2"/>
  <c r="X47" i="2"/>
  <c r="W47" i="2"/>
  <c r="U47" i="2"/>
  <c r="T47" i="2"/>
  <c r="R47" i="2"/>
  <c r="Q47" i="2"/>
  <c r="O47" i="2"/>
  <c r="N47" i="2"/>
  <c r="L47" i="2"/>
  <c r="K47" i="2"/>
  <c r="I47" i="2"/>
  <c r="H47" i="2"/>
  <c r="F47" i="2"/>
  <c r="E47" i="2"/>
  <c r="AG46" i="2"/>
  <c r="AF46" i="2"/>
  <c r="AD46" i="2"/>
  <c r="AC46" i="2"/>
  <c r="AA46" i="2"/>
  <c r="Z46" i="2"/>
  <c r="X46" i="2"/>
  <c r="W46" i="2"/>
  <c r="U46" i="2"/>
  <c r="T46" i="2"/>
  <c r="R46" i="2"/>
  <c r="Q46" i="2"/>
  <c r="O46" i="2"/>
  <c r="N46" i="2"/>
  <c r="L46" i="2"/>
  <c r="K46" i="2"/>
  <c r="I46" i="2"/>
  <c r="H46" i="2"/>
  <c r="F46" i="2"/>
  <c r="E46" i="2"/>
  <c r="AG45" i="2"/>
  <c r="AF45" i="2"/>
  <c r="AD45" i="2"/>
  <c r="AC45" i="2"/>
  <c r="AA45" i="2"/>
  <c r="Z45" i="2"/>
  <c r="X45" i="2"/>
  <c r="W45" i="2"/>
  <c r="U45" i="2"/>
  <c r="T45" i="2"/>
  <c r="R45" i="2"/>
  <c r="Q45" i="2"/>
  <c r="O45" i="2"/>
  <c r="N45" i="2"/>
  <c r="L45" i="2"/>
  <c r="K45" i="2"/>
  <c r="I45" i="2"/>
  <c r="H45" i="2"/>
  <c r="F45" i="2"/>
  <c r="E45" i="2"/>
  <c r="AG44" i="2"/>
  <c r="AF44" i="2"/>
  <c r="AD44" i="2"/>
  <c r="AC44" i="2"/>
  <c r="AA44" i="2"/>
  <c r="Z44" i="2"/>
  <c r="X44" i="2"/>
  <c r="W44" i="2"/>
  <c r="U44" i="2"/>
  <c r="T44" i="2"/>
  <c r="R44" i="2"/>
  <c r="Q44" i="2"/>
  <c r="O44" i="2"/>
  <c r="N44" i="2"/>
  <c r="L44" i="2"/>
  <c r="K44" i="2"/>
  <c r="I44" i="2"/>
  <c r="H44" i="2"/>
  <c r="F44" i="2"/>
  <c r="E44" i="2"/>
  <c r="AG43" i="2"/>
  <c r="AF43" i="2"/>
  <c r="AD43" i="2"/>
  <c r="AC43" i="2"/>
  <c r="AA43" i="2"/>
  <c r="Z43" i="2"/>
  <c r="X43" i="2"/>
  <c r="W43" i="2"/>
  <c r="U43" i="2"/>
  <c r="T43" i="2"/>
  <c r="R43" i="2"/>
  <c r="Q43" i="2"/>
  <c r="O43" i="2"/>
  <c r="N43" i="2"/>
  <c r="L43" i="2"/>
  <c r="K43" i="2"/>
  <c r="I43" i="2"/>
  <c r="H43" i="2"/>
  <c r="F43" i="2"/>
  <c r="E43" i="2"/>
  <c r="AG42" i="2"/>
  <c r="AF42" i="2"/>
  <c r="AD42" i="2"/>
  <c r="AC42" i="2"/>
  <c r="AA42" i="2"/>
  <c r="Z42" i="2"/>
  <c r="X42" i="2"/>
  <c r="W42" i="2"/>
  <c r="U42" i="2"/>
  <c r="T42" i="2"/>
  <c r="R42" i="2"/>
  <c r="Q42" i="2"/>
  <c r="O42" i="2"/>
  <c r="N42" i="2"/>
  <c r="L42" i="2"/>
  <c r="K42" i="2"/>
  <c r="I42" i="2"/>
  <c r="H42" i="2"/>
  <c r="F42" i="2"/>
  <c r="E42" i="2"/>
  <c r="AG41" i="2"/>
  <c r="AF41" i="2"/>
  <c r="AD41" i="2"/>
  <c r="AC41" i="2"/>
  <c r="AA41" i="2"/>
  <c r="Z41" i="2"/>
  <c r="X41" i="2"/>
  <c r="W41" i="2"/>
  <c r="U41" i="2"/>
  <c r="T41" i="2"/>
  <c r="R41" i="2"/>
  <c r="Q41" i="2"/>
  <c r="O41" i="2"/>
  <c r="N41" i="2"/>
  <c r="L41" i="2"/>
  <c r="K41" i="2"/>
  <c r="I41" i="2"/>
  <c r="H41" i="2"/>
  <c r="F41" i="2"/>
  <c r="E41" i="2"/>
  <c r="AG40" i="2"/>
  <c r="AF40" i="2"/>
  <c r="AD40" i="2"/>
  <c r="AC40" i="2"/>
  <c r="AA40" i="2"/>
  <c r="Z40" i="2"/>
  <c r="X40" i="2"/>
  <c r="W40" i="2"/>
  <c r="U40" i="2"/>
  <c r="T40" i="2"/>
  <c r="R40" i="2"/>
  <c r="Q40" i="2"/>
  <c r="O40" i="2"/>
  <c r="N40" i="2"/>
  <c r="L40" i="2"/>
  <c r="K40" i="2"/>
  <c r="I40" i="2"/>
  <c r="H40" i="2"/>
  <c r="F40" i="2"/>
  <c r="E40" i="2"/>
  <c r="AG39" i="2"/>
  <c r="AF39" i="2"/>
  <c r="AD39" i="2"/>
  <c r="AC39" i="2"/>
  <c r="AA39" i="2"/>
  <c r="Z39" i="2"/>
  <c r="X39" i="2"/>
  <c r="W39" i="2"/>
  <c r="U39" i="2"/>
  <c r="T39" i="2"/>
  <c r="R39" i="2"/>
  <c r="Q39" i="2"/>
  <c r="O39" i="2"/>
  <c r="N39" i="2"/>
  <c r="L39" i="2"/>
  <c r="K39" i="2"/>
  <c r="I39" i="2"/>
  <c r="H39" i="2"/>
  <c r="F39" i="2"/>
  <c r="E39" i="2"/>
  <c r="AG38" i="2"/>
  <c r="AF38" i="2"/>
  <c r="AD38" i="2"/>
  <c r="AC38" i="2"/>
  <c r="AA38" i="2"/>
  <c r="Z38" i="2"/>
  <c r="X38" i="2"/>
  <c r="W38" i="2"/>
  <c r="U38" i="2"/>
  <c r="T38" i="2"/>
  <c r="R38" i="2"/>
  <c r="Q38" i="2"/>
  <c r="O38" i="2"/>
  <c r="N38" i="2"/>
  <c r="L38" i="2"/>
  <c r="K38" i="2"/>
  <c r="I38" i="2"/>
  <c r="H38" i="2"/>
  <c r="F38" i="2"/>
  <c r="E38" i="2"/>
  <c r="AG37" i="2"/>
  <c r="AF37" i="2"/>
  <c r="AD37" i="2"/>
  <c r="AC37" i="2"/>
  <c r="AA37" i="2"/>
  <c r="Z37" i="2"/>
  <c r="X37" i="2"/>
  <c r="W37" i="2"/>
  <c r="U37" i="2"/>
  <c r="T37" i="2"/>
  <c r="R37" i="2"/>
  <c r="Q37" i="2"/>
  <c r="O37" i="2"/>
  <c r="N37" i="2"/>
  <c r="L37" i="2"/>
  <c r="K37" i="2"/>
  <c r="I37" i="2"/>
  <c r="H37" i="2"/>
  <c r="F37" i="2"/>
  <c r="E37" i="2"/>
  <c r="AG36" i="2"/>
  <c r="AF36" i="2"/>
  <c r="AD36" i="2"/>
  <c r="AC36" i="2"/>
  <c r="AA36" i="2"/>
  <c r="Z36" i="2"/>
  <c r="X36" i="2"/>
  <c r="W36" i="2"/>
  <c r="U36" i="2"/>
  <c r="T36" i="2"/>
  <c r="R36" i="2"/>
  <c r="Q36" i="2"/>
  <c r="O36" i="2"/>
  <c r="N36" i="2"/>
  <c r="L36" i="2"/>
  <c r="K36" i="2"/>
  <c r="I36" i="2"/>
  <c r="H36" i="2"/>
  <c r="F36" i="2"/>
  <c r="E36" i="2"/>
  <c r="AG35" i="2"/>
  <c r="AG59" i="2" s="1"/>
  <c r="AF35" i="2"/>
  <c r="AF59" i="2" s="1"/>
  <c r="AD35" i="2"/>
  <c r="AD59" i="2" s="1"/>
  <c r="AC35" i="2"/>
  <c r="AC59" i="2" s="1"/>
  <c r="AA35" i="2"/>
  <c r="AA59" i="2" s="1"/>
  <c r="Z35" i="2"/>
  <c r="Z59" i="2" s="1"/>
  <c r="X35" i="2"/>
  <c r="X59" i="2" s="1"/>
  <c r="W35" i="2"/>
  <c r="W59" i="2" s="1"/>
  <c r="U35" i="2"/>
  <c r="U59" i="2" s="1"/>
  <c r="T35" i="2"/>
  <c r="T59" i="2" s="1"/>
  <c r="R35" i="2"/>
  <c r="R59" i="2" s="1"/>
  <c r="Q35" i="2"/>
  <c r="Q59" i="2" s="1"/>
  <c r="O35" i="2"/>
  <c r="O59" i="2" s="1"/>
  <c r="N35" i="2"/>
  <c r="N59" i="2" s="1"/>
  <c r="L35" i="2"/>
  <c r="L59" i="2" s="1"/>
  <c r="K35" i="2"/>
  <c r="K59" i="2" s="1"/>
  <c r="I35" i="2"/>
  <c r="I59" i="2" s="1"/>
  <c r="H35" i="2"/>
  <c r="H59" i="2" s="1"/>
  <c r="F35" i="2"/>
  <c r="F59" i="2" s="1"/>
  <c r="E35" i="2"/>
  <c r="E59" i="2" s="1"/>
  <c r="P184" i="1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DG21" i="2"/>
  <c r="DH21" i="2"/>
  <c r="DI21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H22" i="2"/>
  <c r="DI22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DG24" i="2"/>
  <c r="DH24" i="2"/>
  <c r="DI24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DB26" i="2"/>
  <c r="DC26" i="2"/>
  <c r="DD26" i="2"/>
  <c r="DE26" i="2"/>
  <c r="DF26" i="2"/>
  <c r="DG26" i="2"/>
  <c r="DH26" i="2"/>
  <c r="DI26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DC27" i="2"/>
  <c r="DD27" i="2"/>
  <c r="DE27" i="2"/>
  <c r="DF27" i="2"/>
  <c r="DG27" i="2"/>
  <c r="DH27" i="2"/>
  <c r="DI27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DG28" i="2"/>
  <c r="DH28" i="2"/>
  <c r="DI28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DG29" i="2"/>
  <c r="DH29" i="2"/>
  <c r="DI29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DB30" i="2"/>
  <c r="DC30" i="2"/>
  <c r="DD30" i="2"/>
  <c r="DE30" i="2"/>
  <c r="DF30" i="2"/>
  <c r="DG30" i="2"/>
  <c r="DH30" i="2"/>
  <c r="DI30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DB12" i="2"/>
  <c r="DC12" i="2"/>
  <c r="DD12" i="2"/>
  <c r="DE12" i="2"/>
  <c r="DF12" i="2"/>
  <c r="DG12" i="2"/>
  <c r="DH12" i="2"/>
  <c r="DI12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DG14" i="2"/>
  <c r="DH14" i="2"/>
  <c r="DI14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DB17" i="2"/>
  <c r="DC17" i="2"/>
  <c r="DD17" i="2"/>
  <c r="DE17" i="2"/>
  <c r="DF17" i="2"/>
  <c r="DG17" i="2"/>
  <c r="DH17" i="2"/>
  <c r="DI17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DB18" i="2"/>
  <c r="DC18" i="2"/>
  <c r="DD18" i="2"/>
  <c r="DE18" i="2"/>
  <c r="DF18" i="2"/>
  <c r="DG18" i="2"/>
  <c r="DH18" i="2"/>
  <c r="DI18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G19" i="2"/>
  <c r="DH19" i="2"/>
  <c r="DI19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H187" i="1"/>
  <c r="H180" i="1"/>
  <c r="CG20" i="2" l="1"/>
  <c r="CI20" i="2"/>
  <c r="CK20" i="2"/>
  <c r="CI28" i="2"/>
  <c r="CK28" i="2"/>
  <c r="CG28" i="2"/>
  <c r="CJ19" i="2"/>
  <c r="CF19" i="2"/>
  <c r="CH19" i="2"/>
  <c r="CJ28" i="2"/>
  <c r="CH28" i="2"/>
  <c r="CF28" i="2"/>
  <c r="CK18" i="2"/>
  <c r="CG18" i="2"/>
  <c r="CI18" i="2"/>
  <c r="CI27" i="2"/>
  <c r="CG27" i="2"/>
  <c r="CK27" i="2"/>
  <c r="CF23" i="2"/>
  <c r="CH23" i="2"/>
  <c r="CJ23" i="2"/>
  <c r="CF21" i="2"/>
  <c r="CH21" i="2"/>
  <c r="CJ21" i="2"/>
  <c r="CG30" i="2"/>
  <c r="CI30" i="2"/>
  <c r="CK30" i="2"/>
  <c r="CF11" i="2"/>
  <c r="BR11" i="2" s="1"/>
  <c r="CH11" i="2"/>
  <c r="CJ11" i="2"/>
  <c r="CA11" i="2" s="1"/>
  <c r="CF17" i="2"/>
  <c r="CJ17" i="2"/>
  <c r="CH17" i="2"/>
  <c r="CH26" i="2"/>
  <c r="CF26" i="2"/>
  <c r="CJ26" i="2"/>
  <c r="CG25" i="2"/>
  <c r="CI25" i="2"/>
  <c r="CK25" i="2"/>
  <c r="CJ25" i="2"/>
  <c r="CF25" i="2"/>
  <c r="CH25" i="2"/>
  <c r="CI12" i="2"/>
  <c r="CK12" i="2"/>
  <c r="CG12" i="2"/>
  <c r="CG21" i="2"/>
  <c r="CI21" i="2"/>
  <c r="CK21" i="2"/>
  <c r="CF27" i="2"/>
  <c r="CH27" i="2"/>
  <c r="CJ27" i="2"/>
  <c r="CK17" i="2"/>
  <c r="CG17" i="2"/>
  <c r="CI17" i="2"/>
  <c r="CK24" i="2"/>
  <c r="CG24" i="2"/>
  <c r="CI24" i="2"/>
  <c r="CJ10" i="2"/>
  <c r="CA10" i="2" s="1"/>
  <c r="CH10" i="2"/>
  <c r="BU10" i="2" s="1"/>
  <c r="CF10" i="2"/>
  <c r="CK29" i="2"/>
  <c r="CG29" i="2"/>
  <c r="CI29" i="2"/>
  <c r="CI26" i="2"/>
  <c r="CG26" i="2"/>
  <c r="CK26" i="2"/>
  <c r="CK16" i="2"/>
  <c r="CG16" i="2"/>
  <c r="CI16" i="2"/>
  <c r="CJ16" i="2"/>
  <c r="CF16" i="2"/>
  <c r="CH16" i="2"/>
  <c r="CJ14" i="2"/>
  <c r="CF14" i="2"/>
  <c r="CH14" i="2"/>
  <c r="CK13" i="2"/>
  <c r="CB13" i="2" s="1"/>
  <c r="CG13" i="2"/>
  <c r="BS13" i="2" s="1"/>
  <c r="BK79" i="4" s="1"/>
  <c r="CI13" i="2"/>
  <c r="BV13" i="2" s="1"/>
  <c r="BO79" i="4" s="1"/>
  <c r="CG22" i="2"/>
  <c r="CI22" i="2"/>
  <c r="CK22" i="2"/>
  <c r="CH13" i="2"/>
  <c r="CJ13" i="2"/>
  <c r="CF13" i="2"/>
  <c r="CF22" i="2"/>
  <c r="CH22" i="2"/>
  <c r="CJ22" i="2"/>
  <c r="CF12" i="2"/>
  <c r="CH12" i="2"/>
  <c r="CJ12" i="2"/>
  <c r="CK10" i="2"/>
  <c r="CB10" i="2" s="1"/>
  <c r="CI10" i="2"/>
  <c r="BV10" i="2" s="1"/>
  <c r="CG10" i="2"/>
  <c r="BS10" i="2" s="1"/>
  <c r="CJ30" i="2"/>
  <c r="CF30" i="2"/>
  <c r="CH30" i="2"/>
  <c r="CJ20" i="2"/>
  <c r="CF20" i="2"/>
  <c r="CH20" i="2"/>
  <c r="CG11" i="2"/>
  <c r="BS11" i="2" s="1"/>
  <c r="CI11" i="2"/>
  <c r="CK11" i="2"/>
  <c r="CJ29" i="2"/>
  <c r="CF29" i="2"/>
  <c r="CH29" i="2"/>
  <c r="CK19" i="2"/>
  <c r="CG19" i="2"/>
  <c r="CI19" i="2"/>
  <c r="CH18" i="2"/>
  <c r="CJ18" i="2"/>
  <c r="CF18" i="2"/>
  <c r="CG15" i="2"/>
  <c r="CI15" i="2"/>
  <c r="CK15" i="2"/>
  <c r="CF15" i="2"/>
  <c r="CH15" i="2"/>
  <c r="CJ15" i="2"/>
  <c r="CH24" i="2"/>
  <c r="CJ24" i="2"/>
  <c r="CF24" i="2"/>
  <c r="CG14" i="2"/>
  <c r="CK14" i="2"/>
  <c r="CI14" i="2"/>
  <c r="CI23" i="2"/>
  <c r="CK23" i="2"/>
  <c r="CG23" i="2"/>
  <c r="CB11" i="2"/>
  <c r="CA13" i="2"/>
  <c r="BR13" i="2"/>
  <c r="BI79" i="4" s="1"/>
  <c r="BU13" i="2"/>
  <c r="BM79" i="4" s="1"/>
  <c r="DO56" i="2"/>
  <c r="DO55" i="2"/>
  <c r="DF36" i="2"/>
  <c r="R25" i="4"/>
  <c r="Q25" i="4"/>
  <c r="DE36" i="2"/>
  <c r="CZ36" i="2"/>
  <c r="B60" i="2"/>
  <c r="DA36" i="2"/>
  <c r="AJ104" i="2"/>
  <c r="DB36" i="2"/>
  <c r="DC36" i="2"/>
  <c r="DD36" i="2"/>
  <c r="AI104" i="2"/>
  <c r="DA44" i="2"/>
  <c r="CY36" i="2"/>
  <c r="DE42" i="2"/>
  <c r="CY54" i="2"/>
  <c r="CO49" i="2"/>
  <c r="CZ44" i="2"/>
  <c r="DC43" i="2"/>
  <c r="DI40" i="2"/>
  <c r="CQ39" i="2"/>
  <c r="DC52" i="2"/>
  <c r="DG50" i="2"/>
  <c r="CU46" i="2"/>
  <c r="CU37" i="2"/>
  <c r="CQ48" i="2"/>
  <c r="CX36" i="2"/>
  <c r="CS38" i="2"/>
  <c r="DI49" i="2"/>
  <c r="CO40" i="2"/>
  <c r="DE51" i="2"/>
  <c r="CS47" i="2"/>
  <c r="CY44" i="2"/>
  <c r="DG41" i="2"/>
  <c r="DA53" i="2"/>
  <c r="CW45" i="2"/>
  <c r="DB43" i="2"/>
  <c r="CN40" i="2"/>
  <c r="CX54" i="2"/>
  <c r="DD51" i="2"/>
  <c r="CR47" i="2"/>
  <c r="DH40" i="2"/>
  <c r="CR38" i="2"/>
  <c r="DB52" i="2"/>
  <c r="CN49" i="2"/>
  <c r="CT46" i="2"/>
  <c r="CX44" i="2"/>
  <c r="DF41" i="2"/>
  <c r="CT37" i="2"/>
  <c r="DF50" i="2"/>
  <c r="CV45" i="2"/>
  <c r="DD42" i="2"/>
  <c r="CP39" i="2"/>
  <c r="CZ53" i="2"/>
  <c r="DH49" i="2"/>
  <c r="CP48" i="2"/>
  <c r="CV36" i="2"/>
  <c r="DA37" i="2"/>
  <c r="CU49" i="2"/>
  <c r="CN43" i="2"/>
  <c r="CZ37" i="2"/>
  <c r="DH52" i="2"/>
  <c r="CP51" i="2"/>
  <c r="CR50" i="2"/>
  <c r="CX47" i="2"/>
  <c r="CO43" i="2"/>
  <c r="DE54" i="2"/>
  <c r="CY47" i="2"/>
  <c r="DH43" i="2"/>
  <c r="CV39" i="2"/>
  <c r="DF53" i="2"/>
  <c r="CT49" i="2"/>
  <c r="CQ42" i="2"/>
  <c r="DG53" i="2"/>
  <c r="DC45" i="2"/>
  <c r="CP42" i="2"/>
  <c r="CX38" i="2"/>
  <c r="DD54" i="2"/>
  <c r="CN52" i="2"/>
  <c r="CV48" i="2"/>
  <c r="CW39" i="2"/>
  <c r="CQ51" i="2"/>
  <c r="CT40" i="2"/>
  <c r="CZ46" i="2"/>
  <c r="DI43" i="2"/>
  <c r="CS41" i="2"/>
  <c r="CU40" i="2"/>
  <c r="CY38" i="2"/>
  <c r="DI52" i="2"/>
  <c r="CO52" i="2"/>
  <c r="CS50" i="2"/>
  <c r="CW48" i="2"/>
  <c r="DA46" i="2"/>
  <c r="CR41" i="2"/>
  <c r="DB45" i="2"/>
  <c r="DD44" i="2"/>
  <c r="CW36" i="2"/>
  <c r="DD43" i="2"/>
  <c r="DF42" i="2"/>
  <c r="DH41" i="2"/>
  <c r="CN41" i="2"/>
  <c r="CP40" i="2"/>
  <c r="CR39" i="2"/>
  <c r="DG44" i="2"/>
  <c r="DE44" i="2"/>
  <c r="DE43" i="2"/>
  <c r="DG42" i="2"/>
  <c r="DI41" i="2"/>
  <c r="DF44" i="2"/>
  <c r="AJ105" i="2"/>
  <c r="AI105" i="2"/>
  <c r="CO41" i="2"/>
  <c r="CZ35" i="2"/>
  <c r="CZ31" i="2"/>
  <c r="DA43" i="2"/>
  <c r="DG40" i="2"/>
  <c r="DI39" i="2"/>
  <c r="CS37" i="2"/>
  <c r="CW54" i="2"/>
  <c r="DC51" i="2"/>
  <c r="DE50" i="2"/>
  <c r="DI48" i="2"/>
  <c r="CU45" i="2"/>
  <c r="DF40" i="2"/>
  <c r="CP38" i="2"/>
  <c r="CZ52" i="2"/>
  <c r="DB51" i="2"/>
  <c r="DH48" i="2"/>
  <c r="DD31" i="2"/>
  <c r="DD35" i="2"/>
  <c r="CY43" i="2"/>
  <c r="DA42" i="2"/>
  <c r="DE40" i="2"/>
  <c r="CO38" i="2"/>
  <c r="CU54" i="2"/>
  <c r="CY52" i="2"/>
  <c r="DC50" i="2"/>
  <c r="CO47" i="2"/>
  <c r="DE35" i="2"/>
  <c r="DE31" i="2"/>
  <c r="CZ42" i="2"/>
  <c r="DF39" i="2"/>
  <c r="CN38" i="2"/>
  <c r="CX52" i="2"/>
  <c r="DD49" i="2"/>
  <c r="CN47" i="2"/>
  <c r="CU44" i="2"/>
  <c r="DA41" i="2"/>
  <c r="DC40" i="2"/>
  <c r="DI37" i="2"/>
  <c r="CY51" i="2"/>
  <c r="DC49" i="2"/>
  <c r="DG47" i="2"/>
  <c r="CQ45" i="2"/>
  <c r="DG35" i="2"/>
  <c r="DG31" i="2"/>
  <c r="CT44" i="2"/>
  <c r="CZ41" i="2"/>
  <c r="DD39" i="2"/>
  <c r="DH37" i="2"/>
  <c r="CV52" i="2"/>
  <c r="CZ50" i="2"/>
  <c r="DF47" i="2"/>
  <c r="DA40" i="2"/>
  <c r="DG37" i="2"/>
  <c r="CQ54" i="2"/>
  <c r="CY50" i="2"/>
  <c r="DC48" i="2"/>
  <c r="DG46" i="2"/>
  <c r="CT43" i="2"/>
  <c r="CX41" i="2"/>
  <c r="DB39" i="2"/>
  <c r="DF37" i="2"/>
  <c r="CP54" i="2"/>
  <c r="CT52" i="2"/>
  <c r="DD47" i="2"/>
  <c r="DF46" i="2"/>
  <c r="CN45" i="2"/>
  <c r="CP35" i="2"/>
  <c r="CP31" i="2"/>
  <c r="CN36" i="2"/>
  <c r="DH36" i="2"/>
  <c r="CQ44" i="2"/>
  <c r="CS43" i="2"/>
  <c r="CW41" i="2"/>
  <c r="CY40" i="2"/>
  <c r="DA39" i="2"/>
  <c r="DC38" i="2"/>
  <c r="DE37" i="2"/>
  <c r="DI54" i="2"/>
  <c r="CO54" i="2"/>
  <c r="CQ53" i="2"/>
  <c r="CU51" i="2"/>
  <c r="CW50" i="2"/>
  <c r="CY49" i="2"/>
  <c r="DC47" i="2"/>
  <c r="DE46" i="2"/>
  <c r="DG45" i="2"/>
  <c r="CO36" i="2"/>
  <c r="DI36" i="2"/>
  <c r="CR43" i="2"/>
  <c r="CV41" i="2"/>
  <c r="CZ39" i="2"/>
  <c r="DD37" i="2"/>
  <c r="DH54" i="2"/>
  <c r="CP53" i="2"/>
  <c r="CR52" i="2"/>
  <c r="CV50" i="2"/>
  <c r="CX49" i="2"/>
  <c r="DB47" i="2"/>
  <c r="DF45" i="2"/>
  <c r="CR31" i="2"/>
  <c r="CR35" i="2"/>
  <c r="CP36" i="2"/>
  <c r="DI44" i="2"/>
  <c r="CO44" i="2"/>
  <c r="CQ43" i="2"/>
  <c r="CS42" i="2"/>
  <c r="CU41" i="2"/>
  <c r="CW40" i="2"/>
  <c r="CY39" i="2"/>
  <c r="DA38" i="2"/>
  <c r="DC37" i="2"/>
  <c r="DG54" i="2"/>
  <c r="DI53" i="2"/>
  <c r="CO53" i="2"/>
  <c r="CQ52" i="2"/>
  <c r="CS51" i="2"/>
  <c r="CU50" i="2"/>
  <c r="CW49" i="2"/>
  <c r="CY48" i="2"/>
  <c r="DA47" i="2"/>
  <c r="DC46" i="2"/>
  <c r="DE45" i="2"/>
  <c r="CQ38" i="2"/>
  <c r="CO48" i="2"/>
  <c r="DC31" i="2"/>
  <c r="DC35" i="2"/>
  <c r="DD41" i="2"/>
  <c r="DH39" i="2"/>
  <c r="CV54" i="2"/>
  <c r="DD50" i="2"/>
  <c r="CN48" i="2"/>
  <c r="DC41" i="2"/>
  <c r="DI38" i="2"/>
  <c r="DA51" i="2"/>
  <c r="CQ46" i="2"/>
  <c r="DD40" i="2"/>
  <c r="DH38" i="2"/>
  <c r="CV53" i="2"/>
  <c r="DB50" i="2"/>
  <c r="CP46" i="2"/>
  <c r="CY42" i="2"/>
  <c r="CS54" i="2"/>
  <c r="CN37" i="2"/>
  <c r="CX51" i="2"/>
  <c r="DD48" i="2"/>
  <c r="DH35" i="2"/>
  <c r="DH31" i="2"/>
  <c r="CU43" i="2"/>
  <c r="DC39" i="2"/>
  <c r="CS53" i="2"/>
  <c r="DA49" i="2"/>
  <c r="DI45" i="2"/>
  <c r="CR44" i="2"/>
  <c r="CV42" i="2"/>
  <c r="CZ40" i="2"/>
  <c r="DD38" i="2"/>
  <c r="CR53" i="2"/>
  <c r="DB48" i="2"/>
  <c r="DH45" i="2"/>
  <c r="CU42" i="2"/>
  <c r="CS52" i="2"/>
  <c r="DA48" i="2"/>
  <c r="CQ35" i="2"/>
  <c r="CQ31" i="2"/>
  <c r="CP44" i="2"/>
  <c r="CT42" i="2"/>
  <c r="CX40" i="2"/>
  <c r="DB38" i="2"/>
  <c r="CN54" i="2"/>
  <c r="CT51" i="2"/>
  <c r="CZ48" i="2"/>
  <c r="DD46" i="2"/>
  <c r="CS31" i="2"/>
  <c r="CS35" i="2"/>
  <c r="CQ36" i="2"/>
  <c r="DH44" i="2"/>
  <c r="CN44" i="2"/>
  <c r="CP43" i="2"/>
  <c r="CR42" i="2"/>
  <c r="CT41" i="2"/>
  <c r="CV40" i="2"/>
  <c r="CX39" i="2"/>
  <c r="CZ38" i="2"/>
  <c r="DB37" i="2"/>
  <c r="DF54" i="2"/>
  <c r="DH53" i="2"/>
  <c r="CN53" i="2"/>
  <c r="CP52" i="2"/>
  <c r="CR51" i="2"/>
  <c r="CT50" i="2"/>
  <c r="CV49" i="2"/>
  <c r="CX48" i="2"/>
  <c r="CZ47" i="2"/>
  <c r="DB46" i="2"/>
  <c r="DD45" i="2"/>
  <c r="DE41" i="2"/>
  <c r="DA52" i="2"/>
  <c r="CN39" i="2"/>
  <c r="DF49" i="2"/>
  <c r="CW44" i="2"/>
  <c r="DI47" i="2"/>
  <c r="CV44" i="2"/>
  <c r="DH47" i="2"/>
  <c r="CW43" i="2"/>
  <c r="CU53" i="2"/>
  <c r="CO46" i="2"/>
  <c r="CV43" i="2"/>
  <c r="CR54" i="2"/>
  <c r="CP45" i="2"/>
  <c r="CW42" i="2"/>
  <c r="CU52" i="2"/>
  <c r="CT35" i="2"/>
  <c r="CT31" i="2"/>
  <c r="CV31" i="2"/>
  <c r="CV35" i="2"/>
  <c r="CT36" i="2"/>
  <c r="DG43" i="2"/>
  <c r="DI42" i="2"/>
  <c r="CO42" i="2"/>
  <c r="CQ41" i="2"/>
  <c r="CS40" i="2"/>
  <c r="CU39" i="2"/>
  <c r="CW38" i="2"/>
  <c r="CY37" i="2"/>
  <c r="DC54" i="2"/>
  <c r="DE53" i="2"/>
  <c r="DG52" i="2"/>
  <c r="DI51" i="2"/>
  <c r="CO51" i="2"/>
  <c r="CQ50" i="2"/>
  <c r="CS49" i="2"/>
  <c r="CU48" i="2"/>
  <c r="CW47" i="2"/>
  <c r="CY46" i="2"/>
  <c r="DA45" i="2"/>
  <c r="DA31" i="2"/>
  <c r="DA35" i="2"/>
  <c r="DC42" i="2"/>
  <c r="CY53" i="2"/>
  <c r="CQ47" i="2"/>
  <c r="DB42" i="2"/>
  <c r="CP47" i="2"/>
  <c r="DG39" i="2"/>
  <c r="DE49" i="2"/>
  <c r="CP37" i="2"/>
  <c r="DF48" i="2"/>
  <c r="DF35" i="2"/>
  <c r="DF31" i="2"/>
  <c r="CO37" i="2"/>
  <c r="DE48" i="2"/>
  <c r="DB40" i="2"/>
  <c r="DB49" i="2"/>
  <c r="CS44" i="2"/>
  <c r="DE47" i="2"/>
  <c r="DG36" i="2"/>
  <c r="CX50" i="2"/>
  <c r="CS36" i="2"/>
  <c r="CW31" i="2"/>
  <c r="CW35" i="2"/>
  <c r="CU36" i="2"/>
  <c r="DF43" i="2"/>
  <c r="DH42" i="2"/>
  <c r="CN42" i="2"/>
  <c r="CP41" i="2"/>
  <c r="CR40" i="2"/>
  <c r="CT39" i="2"/>
  <c r="CV38" i="2"/>
  <c r="CX37" i="2"/>
  <c r="DB54" i="2"/>
  <c r="DD53" i="2"/>
  <c r="DF52" i="2"/>
  <c r="DH51" i="2"/>
  <c r="CN51" i="2"/>
  <c r="CP50" i="2"/>
  <c r="CR49" i="2"/>
  <c r="CT48" i="2"/>
  <c r="CV47" i="2"/>
  <c r="CX46" i="2"/>
  <c r="CZ45" i="2"/>
  <c r="CS46" i="2"/>
  <c r="CZ43" i="2"/>
  <c r="CX53" i="2"/>
  <c r="CR46" i="2"/>
  <c r="CQ37" i="2"/>
  <c r="DG48" i="2"/>
  <c r="CX43" i="2"/>
  <c r="CT54" i="2"/>
  <c r="CR45" i="2"/>
  <c r="DE39" i="2"/>
  <c r="CW52" i="2"/>
  <c r="DI46" i="2"/>
  <c r="CX42" i="2"/>
  <c r="CT53" i="2"/>
  <c r="CN46" i="2"/>
  <c r="CY41" i="2"/>
  <c r="CW51" i="2"/>
  <c r="DI35" i="2"/>
  <c r="DI31" i="2"/>
  <c r="CV51" i="2"/>
  <c r="CX31" i="2"/>
  <c r="CX35" i="2"/>
  <c r="DC44" i="2"/>
  <c r="CQ40" i="2"/>
  <c r="CS39" i="2"/>
  <c r="CU38" i="2"/>
  <c r="CW37" i="2"/>
  <c r="DA54" i="2"/>
  <c r="DC53" i="2"/>
  <c r="DE52" i="2"/>
  <c r="DG51" i="2"/>
  <c r="DI50" i="2"/>
  <c r="CO50" i="2"/>
  <c r="CQ49" i="2"/>
  <c r="CS48" i="2"/>
  <c r="CU47" i="2"/>
  <c r="CW46" i="2"/>
  <c r="CY45" i="2"/>
  <c r="DB31" i="2"/>
  <c r="DB35" i="2"/>
  <c r="CO39" i="2"/>
  <c r="DG49" i="2"/>
  <c r="CR37" i="2"/>
  <c r="CT45" i="2"/>
  <c r="CW53" i="2"/>
  <c r="CS45" i="2"/>
  <c r="DB41" i="2"/>
  <c r="CZ51" i="2"/>
  <c r="DG38" i="2"/>
  <c r="DA50" i="2"/>
  <c r="DF38" i="2"/>
  <c r="DH46" i="2"/>
  <c r="CN35" i="2"/>
  <c r="CN31" i="2"/>
  <c r="DE38" i="2"/>
  <c r="CO45" i="2"/>
  <c r="CO35" i="2"/>
  <c r="CO31" i="2"/>
  <c r="CZ49" i="2"/>
  <c r="CR36" i="2"/>
  <c r="CU31" i="2"/>
  <c r="CU35" i="2"/>
  <c r="CY31" i="2"/>
  <c r="CY35" i="2"/>
  <c r="DB44" i="2"/>
  <c r="CT38" i="2"/>
  <c r="CV37" i="2"/>
  <c r="CZ54" i="2"/>
  <c r="DB53" i="2"/>
  <c r="DD52" i="2"/>
  <c r="DF51" i="2"/>
  <c r="DH50" i="2"/>
  <c r="CN50" i="2"/>
  <c r="CP49" i="2"/>
  <c r="CR48" i="2"/>
  <c r="CT47" i="2"/>
  <c r="CV46" i="2"/>
  <c r="CX45" i="2"/>
  <c r="AJ109" i="2"/>
  <c r="AI109" i="2"/>
  <c r="AI107" i="2"/>
  <c r="AJ107" i="2"/>
  <c r="EK24" i="2"/>
  <c r="L69" i="2"/>
  <c r="K69" i="2"/>
  <c r="L63" i="2"/>
  <c r="R199" i="2"/>
  <c r="U199" i="2"/>
  <c r="W199" i="2"/>
  <c r="T199" i="2"/>
  <c r="Z199" i="2"/>
  <c r="AG199" i="2"/>
  <c r="H199" i="2"/>
  <c r="N199" i="2"/>
  <c r="X199" i="2"/>
  <c r="AA199" i="2"/>
  <c r="AC199" i="2"/>
  <c r="AD199" i="2"/>
  <c r="AF199" i="2"/>
  <c r="E199" i="2"/>
  <c r="F199" i="2"/>
  <c r="I199" i="2"/>
  <c r="O199" i="2"/>
  <c r="K199" i="2"/>
  <c r="L199" i="2"/>
  <c r="Q199" i="2"/>
  <c r="I69" i="2"/>
  <c r="I77" i="2"/>
  <c r="B59" i="2"/>
  <c r="C59" i="2"/>
  <c r="B69" i="2"/>
  <c r="C79" i="2"/>
  <c r="B79" i="2"/>
  <c r="C69" i="2"/>
  <c r="EC30" i="2"/>
  <c r="EK26" i="2"/>
  <c r="EM25" i="2"/>
  <c r="ES22" i="2"/>
  <c r="EA21" i="2"/>
  <c r="T64" i="2"/>
  <c r="AF67" i="2"/>
  <c r="E61" i="2"/>
  <c r="F69" i="2"/>
  <c r="K66" i="2"/>
  <c r="F66" i="2"/>
  <c r="F67" i="2"/>
  <c r="H69" i="2"/>
  <c r="E77" i="2"/>
  <c r="N62" i="2"/>
  <c r="N63" i="2"/>
  <c r="N67" i="2"/>
  <c r="K73" i="2"/>
  <c r="K74" i="2"/>
  <c r="K75" i="2"/>
  <c r="O62" i="2"/>
  <c r="O65" i="2"/>
  <c r="O68" i="2"/>
  <c r="L75" i="2"/>
  <c r="W61" i="2"/>
  <c r="C72" i="2"/>
  <c r="AC74" i="2"/>
  <c r="I67" i="2"/>
  <c r="F70" i="2"/>
  <c r="F73" i="2"/>
  <c r="K64" i="2"/>
  <c r="H77" i="2"/>
  <c r="L62" i="2"/>
  <c r="L66" i="2"/>
  <c r="I70" i="2"/>
  <c r="I72" i="2"/>
  <c r="Q62" i="2"/>
  <c r="Q65" i="2"/>
  <c r="N72" i="2"/>
  <c r="N73" i="2"/>
  <c r="N75" i="2"/>
  <c r="N76" i="2"/>
  <c r="N77" i="2"/>
  <c r="N78" i="2"/>
  <c r="N60" i="2"/>
  <c r="L65" i="2"/>
  <c r="N66" i="2"/>
  <c r="K70" i="2"/>
  <c r="K72" i="2"/>
  <c r="K76" i="2"/>
  <c r="K77" i="2"/>
  <c r="O66" i="2"/>
  <c r="L73" i="2"/>
  <c r="L76" i="2"/>
  <c r="R68" i="2"/>
  <c r="U61" i="2"/>
  <c r="U68" i="2"/>
  <c r="R70" i="2"/>
  <c r="AF66" i="2"/>
  <c r="I62" i="2"/>
  <c r="I66" i="2"/>
  <c r="F72" i="2"/>
  <c r="F77" i="2"/>
  <c r="H70" i="2"/>
  <c r="H79" i="2"/>
  <c r="Q61" i="2"/>
  <c r="Z68" i="2"/>
  <c r="AF63" i="2"/>
  <c r="E76" i="2"/>
  <c r="F76" i="2"/>
  <c r="K63" i="2"/>
  <c r="H72" i="2"/>
  <c r="I76" i="2"/>
  <c r="Q68" i="2"/>
  <c r="I79" i="2"/>
  <c r="H62" i="2"/>
  <c r="H66" i="2"/>
  <c r="E73" i="2"/>
  <c r="K65" i="2"/>
  <c r="H71" i="2"/>
  <c r="H76" i="2"/>
  <c r="I73" i="2"/>
  <c r="C60" i="2"/>
  <c r="T74" i="2"/>
  <c r="AD60" i="2"/>
  <c r="AC62" i="2"/>
  <c r="AC64" i="2"/>
  <c r="Z73" i="2"/>
  <c r="Z77" i="2"/>
  <c r="E69" i="2"/>
  <c r="F78" i="2"/>
  <c r="K62" i="2"/>
  <c r="L72" i="2"/>
  <c r="Q66" i="2"/>
  <c r="AF60" i="2"/>
  <c r="AD63" i="2"/>
  <c r="AD65" i="2"/>
  <c r="H78" i="2"/>
  <c r="B70" i="2"/>
  <c r="C70" i="2"/>
  <c r="O69" i="2"/>
  <c r="O75" i="2"/>
  <c r="K79" i="2"/>
  <c r="T63" i="2"/>
  <c r="Q69" i="2"/>
  <c r="C61" i="2"/>
  <c r="W68" i="2"/>
  <c r="X61" i="2"/>
  <c r="X68" i="2"/>
  <c r="U70" i="2"/>
  <c r="Q79" i="2"/>
  <c r="B73" i="2"/>
  <c r="R79" i="2"/>
  <c r="AA75" i="2"/>
  <c r="AG64" i="2"/>
  <c r="AD71" i="2"/>
  <c r="AD78" i="2"/>
  <c r="K60" i="2"/>
  <c r="I63" i="2"/>
  <c r="I65" i="2"/>
  <c r="F74" i="2"/>
  <c r="H75" i="2"/>
  <c r="R61" i="2"/>
  <c r="B71" i="2"/>
  <c r="T65" i="2"/>
  <c r="T68" i="2"/>
  <c r="L79" i="2"/>
  <c r="W65" i="2"/>
  <c r="Z60" i="2"/>
  <c r="X65" i="2"/>
  <c r="U69" i="2"/>
  <c r="U78" i="2"/>
  <c r="B63" i="2"/>
  <c r="Z66" i="2"/>
  <c r="C63" i="2"/>
  <c r="AD64" i="2"/>
  <c r="AA77" i="2"/>
  <c r="AG60" i="2"/>
  <c r="AC77" i="2"/>
  <c r="L60" i="2"/>
  <c r="H73" i="2"/>
  <c r="N65" i="2"/>
  <c r="N68" i="2"/>
  <c r="F79" i="2"/>
  <c r="N69" i="2"/>
  <c r="R65" i="2"/>
  <c r="B61" i="2"/>
  <c r="T61" i="2"/>
  <c r="Q70" i="2"/>
  <c r="C71" i="2"/>
  <c r="U63" i="2"/>
  <c r="U65" i="2"/>
  <c r="N79" i="2"/>
  <c r="W69" i="2"/>
  <c r="C73" i="2"/>
  <c r="AC60" i="2"/>
  <c r="AA64" i="2"/>
  <c r="AA68" i="2"/>
  <c r="X71" i="2"/>
  <c r="X77" i="2"/>
  <c r="Z71" i="2"/>
  <c r="Z74" i="2"/>
  <c r="AA71" i="2"/>
  <c r="AF64" i="2"/>
  <c r="AC71" i="2"/>
  <c r="C78" i="2"/>
  <c r="B62" i="2"/>
  <c r="T60" i="2"/>
  <c r="R62" i="2"/>
  <c r="R63" i="2"/>
  <c r="R64" i="2"/>
  <c r="R66" i="2"/>
  <c r="R67" i="2"/>
  <c r="O70" i="2"/>
  <c r="O71" i="2"/>
  <c r="O72" i="2"/>
  <c r="O73" i="2"/>
  <c r="O74" i="2"/>
  <c r="O76" i="2"/>
  <c r="O77" i="2"/>
  <c r="O78" i="2"/>
  <c r="U60" i="2"/>
  <c r="T62" i="2"/>
  <c r="T66" i="2"/>
  <c r="T67" i="2"/>
  <c r="Q71" i="2"/>
  <c r="Q72" i="2"/>
  <c r="Q73" i="2"/>
  <c r="Q74" i="2"/>
  <c r="Q75" i="2"/>
  <c r="Q76" i="2"/>
  <c r="Q77" i="2"/>
  <c r="Q78" i="2"/>
  <c r="W60" i="2"/>
  <c r="U62" i="2"/>
  <c r="U64" i="2"/>
  <c r="U66" i="2"/>
  <c r="U67" i="2"/>
  <c r="R69" i="2"/>
  <c r="R71" i="2"/>
  <c r="R72" i="2"/>
  <c r="R73" i="2"/>
  <c r="R74" i="2"/>
  <c r="R75" i="2"/>
  <c r="R76" i="2"/>
  <c r="R77" i="2"/>
  <c r="R78" i="2"/>
  <c r="B72" i="2"/>
  <c r="X60" i="2"/>
  <c r="W62" i="2"/>
  <c r="W63" i="2"/>
  <c r="W64" i="2"/>
  <c r="W66" i="2"/>
  <c r="W67" i="2"/>
  <c r="T69" i="2"/>
  <c r="T70" i="2"/>
  <c r="T71" i="2"/>
  <c r="T72" i="2"/>
  <c r="T73" i="2"/>
  <c r="T75" i="2"/>
  <c r="T76" i="2"/>
  <c r="T77" i="2"/>
  <c r="T78" i="2"/>
  <c r="O79" i="2"/>
  <c r="C62" i="2"/>
  <c r="U71" i="2"/>
  <c r="U75" i="2"/>
  <c r="AA60" i="2"/>
  <c r="Z62" i="2"/>
  <c r="Z64" i="2"/>
  <c r="Z67" i="2"/>
  <c r="W70" i="2"/>
  <c r="W71" i="2"/>
  <c r="W74" i="2"/>
  <c r="W75" i="2"/>
  <c r="W76" i="2"/>
  <c r="W77" i="2"/>
  <c r="W78" i="2"/>
  <c r="X62" i="2"/>
  <c r="X64" i="2"/>
  <c r="X67" i="2"/>
  <c r="U72" i="2"/>
  <c r="U74" i="2"/>
  <c r="Z61" i="2"/>
  <c r="AA61" i="2"/>
  <c r="AA62" i="2"/>
  <c r="AA67" i="2"/>
  <c r="X74" i="2"/>
  <c r="T79" i="2"/>
  <c r="AD61" i="2"/>
  <c r="AD67" i="2"/>
  <c r="AA70" i="2"/>
  <c r="AA74" i="2"/>
  <c r="AA78" i="2"/>
  <c r="E60" i="2"/>
  <c r="AG62" i="2"/>
  <c r="AG63" i="2"/>
  <c r="AG65" i="2"/>
  <c r="AG66" i="2"/>
  <c r="AG67" i="2"/>
  <c r="AG68" i="2"/>
  <c r="AD70" i="2"/>
  <c r="AD72" i="2"/>
  <c r="AD73" i="2"/>
  <c r="AD74" i="2"/>
  <c r="AD75" i="2"/>
  <c r="AD77" i="2"/>
  <c r="F60" i="2"/>
  <c r="E62" i="2"/>
  <c r="E63" i="2"/>
  <c r="E64" i="2"/>
  <c r="E66" i="2"/>
  <c r="E67" i="2"/>
  <c r="E68" i="2"/>
  <c r="AF70" i="2"/>
  <c r="AF71" i="2"/>
  <c r="AF73" i="2"/>
  <c r="AF74" i="2"/>
  <c r="AF76" i="2"/>
  <c r="AF77" i="2"/>
  <c r="AF78" i="2"/>
  <c r="H60" i="2"/>
  <c r="F62" i="2"/>
  <c r="F63" i="2"/>
  <c r="F64" i="2"/>
  <c r="F68" i="2"/>
  <c r="AG70" i="2"/>
  <c r="AG71" i="2"/>
  <c r="AG72" i="2"/>
  <c r="AG73" i="2"/>
  <c r="AG74" i="2"/>
  <c r="AG75" i="2"/>
  <c r="AG76" i="2"/>
  <c r="AG77" i="2"/>
  <c r="B67" i="2"/>
  <c r="B78" i="2"/>
  <c r="I60" i="2"/>
  <c r="H63" i="2"/>
  <c r="H64" i="2"/>
  <c r="E70" i="2"/>
  <c r="E72" i="2"/>
  <c r="E74" i="2"/>
  <c r="E75" i="2"/>
  <c r="C67" i="2"/>
  <c r="C77" i="2"/>
  <c r="AC67" i="2"/>
  <c r="C74" i="2"/>
  <c r="I64" i="2"/>
  <c r="F75" i="2"/>
  <c r="L61" i="2"/>
  <c r="L67" i="2"/>
  <c r="L68" i="2"/>
  <c r="I71" i="2"/>
  <c r="I74" i="2"/>
  <c r="I75" i="2"/>
  <c r="I78" i="2"/>
  <c r="B64" i="2"/>
  <c r="AC63" i="2"/>
  <c r="Z72" i="2"/>
  <c r="K61" i="2"/>
  <c r="O60" i="2"/>
  <c r="N61" i="2"/>
  <c r="N64" i="2"/>
  <c r="K71" i="2"/>
  <c r="K78" i="2"/>
  <c r="B74" i="2"/>
  <c r="AC66" i="2"/>
  <c r="Z70" i="2"/>
  <c r="Z75" i="2"/>
  <c r="C64" i="2"/>
  <c r="AF65" i="2"/>
  <c r="AC70" i="2"/>
  <c r="AC73" i="2"/>
  <c r="I68" i="2"/>
  <c r="F71" i="2"/>
  <c r="K67" i="2"/>
  <c r="L64" i="2"/>
  <c r="Q60" i="2"/>
  <c r="O61" i="2"/>
  <c r="O63" i="2"/>
  <c r="O64" i="2"/>
  <c r="O67" i="2"/>
  <c r="L70" i="2"/>
  <c r="L71" i="2"/>
  <c r="L74" i="2"/>
  <c r="L77" i="2"/>
  <c r="L78" i="2"/>
  <c r="X78" i="2"/>
  <c r="AC61" i="2"/>
  <c r="Z78" i="2"/>
  <c r="K68" i="2"/>
  <c r="H74" i="2"/>
  <c r="R60" i="2"/>
  <c r="Q63" i="2"/>
  <c r="Q64" i="2"/>
  <c r="Q67" i="2"/>
  <c r="N70" i="2"/>
  <c r="N71" i="2"/>
  <c r="N74" i="2"/>
  <c r="X63" i="2"/>
  <c r="X66" i="2"/>
  <c r="U73" i="2"/>
  <c r="U77" i="2"/>
  <c r="Z63" i="2"/>
  <c r="Z65" i="2"/>
  <c r="W72" i="2"/>
  <c r="W73" i="2"/>
  <c r="AA63" i="2"/>
  <c r="AA65" i="2"/>
  <c r="AA66" i="2"/>
  <c r="X70" i="2"/>
  <c r="X73" i="2"/>
  <c r="X75" i="2"/>
  <c r="X76" i="2"/>
  <c r="Z69" i="2"/>
  <c r="AD62" i="2"/>
  <c r="AD66" i="2"/>
  <c r="AD68" i="2"/>
  <c r="AA72" i="2"/>
  <c r="AA73" i="2"/>
  <c r="B65" i="2"/>
  <c r="B75" i="2"/>
  <c r="AF61" i="2"/>
  <c r="AF62" i="2"/>
  <c r="AF68" i="2"/>
  <c r="AC72" i="2"/>
  <c r="AC75" i="2"/>
  <c r="AC76" i="2"/>
  <c r="C75" i="2"/>
  <c r="AG61" i="2"/>
  <c r="AD69" i="2"/>
  <c r="AD76" i="2"/>
  <c r="Z79" i="2"/>
  <c r="E65" i="2"/>
  <c r="AF69" i="2"/>
  <c r="AF72" i="2"/>
  <c r="AF75" i="2"/>
  <c r="C66" i="2"/>
  <c r="F61" i="2"/>
  <c r="F65" i="2"/>
  <c r="H61" i="2"/>
  <c r="H65" i="2"/>
  <c r="H67" i="2"/>
  <c r="H68" i="2"/>
  <c r="E71" i="2"/>
  <c r="E78" i="2"/>
  <c r="AD79" i="2"/>
  <c r="B68" i="2"/>
  <c r="I61" i="2"/>
  <c r="AF79" i="2"/>
  <c r="C68" i="2"/>
  <c r="E79" i="2"/>
  <c r="AG79" i="2"/>
  <c r="X72" i="2"/>
  <c r="AC65" i="2"/>
  <c r="Z76" i="2"/>
  <c r="AA69" i="2"/>
  <c r="W79" i="2"/>
  <c r="AC69" i="2"/>
  <c r="C65" i="2"/>
  <c r="B66" i="2"/>
  <c r="AA79" i="2"/>
  <c r="AA76" i="2"/>
  <c r="AC78" i="2"/>
  <c r="B76" i="2"/>
  <c r="AC79" i="2"/>
  <c r="U76" i="2"/>
  <c r="AC68" i="2"/>
  <c r="U79" i="2"/>
  <c r="AG69" i="2"/>
  <c r="AG78" i="2"/>
  <c r="B77" i="2"/>
  <c r="X69" i="2"/>
  <c r="X79" i="2"/>
  <c r="C76" i="2"/>
  <c r="EM26" i="2"/>
  <c r="EQ24" i="2"/>
  <c r="EA22" i="2"/>
  <c r="EG22" i="2"/>
  <c r="EA29" i="2"/>
  <c r="EK21" i="2"/>
  <c r="EG26" i="2"/>
  <c r="DY30" i="2"/>
  <c r="ES24" i="2"/>
  <c r="EG16" i="2"/>
  <c r="EM24" i="2"/>
  <c r="EO23" i="2"/>
  <c r="DY21" i="2"/>
  <c r="EI18" i="2"/>
  <c r="EM16" i="2"/>
  <c r="EQ14" i="2"/>
  <c r="DY13" i="2"/>
  <c r="EO24" i="2"/>
  <c r="EO22" i="2"/>
  <c r="EO18" i="2"/>
  <c r="EE27" i="2"/>
  <c r="ES20" i="2"/>
  <c r="EE18" i="2"/>
  <c r="EC18" i="2"/>
  <c r="EQ18" i="2"/>
  <c r="EC15" i="2"/>
  <c r="EO14" i="2"/>
  <c r="EM19" i="2"/>
  <c r="ES12" i="2"/>
  <c r="EA15" i="2"/>
  <c r="EI16" i="2"/>
  <c r="EQ12" i="2"/>
  <c r="EO12" i="2"/>
  <c r="EQ19" i="2"/>
  <c r="EG14" i="2"/>
  <c r="DY16" i="2"/>
  <c r="EK19" i="2"/>
  <c r="EA28" i="2"/>
  <c r="EM14" i="2"/>
  <c r="EK14" i="2"/>
  <c r="EC16" i="2"/>
  <c r="EK12" i="2"/>
  <c r="EC14" i="2"/>
  <c r="DY25" i="2"/>
  <c r="ES16" i="2"/>
  <c r="DY18" i="2"/>
  <c r="EQ17" i="2"/>
  <c r="DY22" i="2"/>
  <c r="EG18" i="2"/>
  <c r="EK16" i="2"/>
  <c r="EE26" i="2"/>
  <c r="EM28" i="2"/>
  <c r="EI15" i="2"/>
  <c r="EM13" i="2"/>
  <c r="ES19" i="2"/>
  <c r="DY19" i="2"/>
  <c r="EA18" i="2"/>
  <c r="EC17" i="2"/>
  <c r="EE16" i="2"/>
  <c r="EG15" i="2"/>
  <c r="EI14" i="2"/>
  <c r="EK13" i="2"/>
  <c r="EM12" i="2"/>
  <c r="EI28" i="2"/>
  <c r="EK23" i="2"/>
  <c r="EE21" i="2"/>
  <c r="EO19" i="2"/>
  <c r="ES17" i="2"/>
  <c r="DY17" i="2"/>
  <c r="EA16" i="2"/>
  <c r="EE14" i="2"/>
  <c r="EG13" i="2"/>
  <c r="EI12" i="2"/>
  <c r="EI24" i="2"/>
  <c r="EA13" i="2"/>
  <c r="EK28" i="2"/>
  <c r="EG21" i="2"/>
  <c r="EE17" i="2"/>
  <c r="EC13" i="2"/>
  <c r="EQ21" i="2"/>
  <c r="EQ30" i="2"/>
  <c r="EG25" i="2"/>
  <c r="EM22" i="2"/>
  <c r="ES18" i="2"/>
  <c r="EO30" i="2"/>
  <c r="EI23" i="2"/>
  <c r="ES27" i="2"/>
  <c r="EE24" i="2"/>
  <c r="EQ27" i="2"/>
  <c r="EE12" i="2"/>
  <c r="EI30" i="2"/>
  <c r="EA24" i="2"/>
  <c r="EK18" i="2"/>
  <c r="EO16" i="2"/>
  <c r="ES14" i="2"/>
  <c r="EQ25" i="2"/>
  <c r="EC22" i="2"/>
  <c r="EK17" i="2"/>
  <c r="ES13" i="2"/>
  <c r="EG29" i="2"/>
  <c r="EI17" i="2"/>
  <c r="EQ13" i="2"/>
  <c r="EO13" i="2"/>
  <c r="EA30" i="2"/>
  <c r="EC29" i="2"/>
  <c r="EI26" i="2"/>
  <c r="EQ22" i="2"/>
  <c r="ES21" i="2"/>
  <c r="EA17" i="2"/>
  <c r="EG24" i="2"/>
  <c r="EE13" i="2"/>
  <c r="EM18" i="2"/>
  <c r="EO17" i="2"/>
  <c r="EQ16" i="2"/>
  <c r="ES15" i="2"/>
  <c r="ES25" i="2"/>
  <c r="EC23" i="2"/>
  <c r="EM17" i="2"/>
  <c r="EQ15" i="2"/>
  <c r="EC12" i="2"/>
  <c r="EG30" i="2"/>
  <c r="EO26" i="2"/>
  <c r="EA23" i="2"/>
  <c r="EG19" i="2"/>
  <c r="EO15" i="2"/>
  <c r="EO25" i="2"/>
  <c r="EM15" i="2"/>
  <c r="DY12" i="2"/>
  <c r="EC19" i="2"/>
  <c r="EG17" i="2"/>
  <c r="EK15" i="2"/>
  <c r="ES30" i="2"/>
  <c r="EC28" i="2"/>
  <c r="EM23" i="2"/>
  <c r="ES29" i="2"/>
  <c r="EC27" i="2"/>
  <c r="EQ20" i="2"/>
  <c r="EE15" i="2"/>
  <c r="EI13" i="2"/>
  <c r="EO20" i="2"/>
  <c r="EM30" i="2"/>
  <c r="DY27" i="2"/>
  <c r="EM20" i="2"/>
  <c r="EG12" i="2"/>
  <c r="EC24" i="2"/>
  <c r="EQ26" i="2"/>
  <c r="EE22" i="2"/>
  <c r="EI19" i="2"/>
  <c r="EA12" i="2"/>
  <c r="EE30" i="2"/>
  <c r="EE19" i="2"/>
  <c r="ES28" i="2"/>
  <c r="EC26" i="2"/>
  <c r="EE25" i="2"/>
  <c r="DY15" i="2"/>
  <c r="EQ28" i="2"/>
  <c r="EA26" i="2"/>
  <c r="EC25" i="2"/>
  <c r="DY28" i="2"/>
  <c r="EM29" i="2"/>
  <c r="EA25" i="2"/>
  <c r="EO27" i="2"/>
  <c r="EK20" i="2"/>
  <c r="EM27" i="2"/>
  <c r="EI20" i="2"/>
  <c r="ES23" i="2"/>
  <c r="EG20" i="2"/>
  <c r="EA14" i="2"/>
  <c r="DY14" i="2"/>
  <c r="EE29" i="2"/>
  <c r="EG28" i="2"/>
  <c r="EI27" i="2"/>
  <c r="EQ23" i="2"/>
  <c r="EC21" i="2"/>
  <c r="EE20" i="2"/>
  <c r="EK22" i="2"/>
  <c r="EM21" i="2"/>
  <c r="EO28" i="2"/>
  <c r="EI21" i="2"/>
  <c r="DY24" i="2"/>
  <c r="EK27" i="2"/>
  <c r="EE28" i="2"/>
  <c r="EC20" i="2"/>
  <c r="EO29" i="2"/>
  <c r="EI22" i="2"/>
  <c r="EE23" i="2"/>
  <c r="EG27" i="2"/>
  <c r="EA19" i="2"/>
  <c r="EI25" i="2"/>
  <c r="EQ29" i="2"/>
  <c r="EO21" i="2"/>
  <c r="EG23" i="2"/>
  <c r="ES26" i="2"/>
  <c r="ES11" i="2"/>
  <c r="EK25" i="2"/>
  <c r="EK30" i="2"/>
  <c r="EK29" i="2"/>
  <c r="EI29" i="2"/>
  <c r="DY23" i="2"/>
  <c r="DY26" i="2"/>
  <c r="EA20" i="2"/>
  <c r="DY29" i="2"/>
  <c r="DY20" i="2"/>
  <c r="EA27" i="2"/>
  <c r="ES10" i="2"/>
  <c r="P185" i="1"/>
  <c r="AG92" i="2" l="1"/>
  <c r="I97" i="2"/>
  <c r="X90" i="2"/>
  <c r="AA100" i="2"/>
  <c r="U101" i="2"/>
  <c r="W103" i="2"/>
  <c r="H91" i="2"/>
  <c r="E99" i="2"/>
  <c r="AD96" i="2"/>
  <c r="T102" i="2"/>
  <c r="AF102" i="2"/>
  <c r="AC93" i="2"/>
  <c r="Q89" i="2"/>
  <c r="N88" i="2"/>
  <c r="BN62" i="4" s="1"/>
  <c r="F101" i="2"/>
  <c r="K103" i="2"/>
  <c r="Z98" i="2"/>
  <c r="L94" i="2"/>
  <c r="R98" i="2"/>
  <c r="O92" i="2"/>
  <c r="AA95" i="2"/>
  <c r="N101" i="2"/>
  <c r="U98" i="2"/>
  <c r="N92" i="2"/>
  <c r="N100" i="2"/>
  <c r="B90" i="2"/>
  <c r="F98" i="2"/>
  <c r="AA97" i="2"/>
  <c r="AG91" i="2"/>
  <c r="I89" i="2"/>
  <c r="C93" i="2"/>
  <c r="Z96" i="2"/>
  <c r="K89" i="2"/>
  <c r="C90" i="2"/>
  <c r="AG89" i="2"/>
  <c r="R94" i="2"/>
  <c r="AF99" i="2"/>
  <c r="O97" i="2"/>
  <c r="K91" i="2"/>
  <c r="W100" i="2"/>
  <c r="C100" i="2"/>
  <c r="AC89" i="2"/>
  <c r="AF93" i="2"/>
  <c r="Z93" i="2"/>
  <c r="Q88" i="2"/>
  <c r="F95" i="2"/>
  <c r="I99" i="2"/>
  <c r="B91" i="2"/>
  <c r="AF94" i="2"/>
  <c r="W99" i="2"/>
  <c r="T93" i="2"/>
  <c r="O95" i="2"/>
  <c r="C97" i="2"/>
  <c r="AG88" i="2"/>
  <c r="I103" i="2"/>
  <c r="R92" i="2"/>
  <c r="I94" i="2"/>
  <c r="X103" i="2"/>
  <c r="X96" i="2"/>
  <c r="E89" i="2"/>
  <c r="X100" i="2"/>
  <c r="I92" i="2"/>
  <c r="I98" i="2"/>
  <c r="AG101" i="2"/>
  <c r="E92" i="2"/>
  <c r="AA102" i="2"/>
  <c r="W98" i="2"/>
  <c r="W91" i="2"/>
  <c r="O94" i="2"/>
  <c r="W93" i="2"/>
  <c r="Z90" i="2"/>
  <c r="AA99" i="2"/>
  <c r="Q90" i="2"/>
  <c r="Q92" i="2"/>
  <c r="L100" i="2"/>
  <c r="L90" i="2"/>
  <c r="E101" i="2"/>
  <c r="I101" i="2"/>
  <c r="X93" i="2"/>
  <c r="AG103" i="2"/>
  <c r="Z103" i="2"/>
  <c r="X99" i="2"/>
  <c r="AC97" i="2"/>
  <c r="I95" i="2"/>
  <c r="AG100" i="2"/>
  <c r="E91" i="2"/>
  <c r="AA98" i="2"/>
  <c r="W95" i="2"/>
  <c r="W90" i="2"/>
  <c r="Q102" i="2"/>
  <c r="R91" i="2"/>
  <c r="N103" i="2"/>
  <c r="R103" i="2"/>
  <c r="L96" i="2"/>
  <c r="I100" i="2"/>
  <c r="L97" i="2"/>
  <c r="H93" i="2"/>
  <c r="I93" i="2"/>
  <c r="AA103" i="2"/>
  <c r="AD94" i="2"/>
  <c r="R96" i="2"/>
  <c r="I90" i="2"/>
  <c r="AF101" i="2"/>
  <c r="X101" i="2"/>
  <c r="N98" i="2"/>
  <c r="T97" i="2"/>
  <c r="N96" i="2"/>
  <c r="T96" i="2"/>
  <c r="E97" i="2"/>
  <c r="AF97" i="2"/>
  <c r="AD102" i="2"/>
  <c r="Q91" i="2"/>
  <c r="E103" i="2"/>
  <c r="AG99" i="2"/>
  <c r="R90" i="2"/>
  <c r="F91" i="2"/>
  <c r="C92" i="2"/>
  <c r="AG98" i="2"/>
  <c r="Q100" i="2"/>
  <c r="F102" i="2"/>
  <c r="K93" i="2"/>
  <c r="AG93" i="2"/>
  <c r="C88" i="2"/>
  <c r="E93" i="2"/>
  <c r="C99" i="2"/>
  <c r="T103" i="2"/>
  <c r="Z101" i="2"/>
  <c r="AC92" i="2"/>
  <c r="Z94" i="2"/>
  <c r="B96" i="2"/>
  <c r="K94" i="2"/>
  <c r="AC99" i="2"/>
  <c r="W97" i="2"/>
  <c r="L102" i="2"/>
  <c r="AC90" i="2"/>
  <c r="C98" i="2"/>
  <c r="AG94" i="2"/>
  <c r="AD101" i="2"/>
  <c r="AA91" i="2"/>
  <c r="U99" i="2"/>
  <c r="R102" i="2"/>
  <c r="Q96" i="2"/>
  <c r="L103" i="2"/>
  <c r="W92" i="2"/>
  <c r="AC88" i="2"/>
  <c r="BJ62" i="4" s="1"/>
  <c r="Z92" i="2"/>
  <c r="N90" i="2"/>
  <c r="AC98" i="2"/>
  <c r="AF91" i="2"/>
  <c r="U97" i="2"/>
  <c r="U96" i="2"/>
  <c r="H99" i="2"/>
  <c r="E96" i="2"/>
  <c r="Z95" i="2"/>
  <c r="F89" i="2"/>
  <c r="X88" i="2"/>
  <c r="H95" i="2"/>
  <c r="H88" i="2"/>
  <c r="O100" i="2"/>
  <c r="K98" i="2"/>
  <c r="AD92" i="2"/>
  <c r="AF98" i="2"/>
  <c r="AA93" i="2"/>
  <c r="B88" i="2"/>
  <c r="U90" i="2"/>
  <c r="H90" i="2"/>
  <c r="I102" i="2"/>
  <c r="U88" i="2"/>
  <c r="AC94" i="2"/>
  <c r="W88" i="2"/>
  <c r="H96" i="2"/>
  <c r="AG102" i="2"/>
  <c r="AF89" i="2"/>
  <c r="Z91" i="2"/>
  <c r="U93" i="2"/>
  <c r="K88" i="2"/>
  <c r="AA90" i="2"/>
  <c r="Z88" i="2"/>
  <c r="F100" i="2"/>
  <c r="Q98" i="2"/>
  <c r="K96" i="2"/>
  <c r="X98" i="2"/>
  <c r="AC103" i="2"/>
  <c r="AC96" i="2"/>
  <c r="L101" i="2"/>
  <c r="AC91" i="2"/>
  <c r="F92" i="2"/>
  <c r="AD99" i="2"/>
  <c r="U95" i="2"/>
  <c r="R101" i="2"/>
  <c r="Q95" i="2"/>
  <c r="C102" i="2"/>
  <c r="R89" i="2"/>
  <c r="T92" i="2"/>
  <c r="L89" i="2"/>
  <c r="C96" i="2"/>
  <c r="T88" i="2"/>
  <c r="H89" i="2"/>
  <c r="T101" i="2"/>
  <c r="F96" i="2"/>
  <c r="B89" i="2"/>
  <c r="X91" i="2"/>
  <c r="O93" i="2"/>
  <c r="R95" i="2"/>
  <c r="N97" i="2"/>
  <c r="AG90" i="2"/>
  <c r="O98" i="2"/>
  <c r="N94" i="2"/>
  <c r="T95" i="2"/>
  <c r="N91" i="2"/>
  <c r="AF96" i="2"/>
  <c r="AF95" i="2"/>
  <c r="AD88" i="2"/>
  <c r="BL62" i="4" s="1"/>
  <c r="I96" i="2"/>
  <c r="B101" i="2"/>
  <c r="H98" i="2"/>
  <c r="W94" i="2"/>
  <c r="O90" i="2"/>
  <c r="X94" i="2"/>
  <c r="AD91" i="2"/>
  <c r="K101" i="2"/>
  <c r="AF103" i="2"/>
  <c r="F97" i="2"/>
  <c r="U103" i="2"/>
  <c r="F99" i="2"/>
  <c r="Q94" i="2"/>
  <c r="F93" i="2"/>
  <c r="B92" i="2"/>
  <c r="AG95" i="2"/>
  <c r="W89" i="2"/>
  <c r="U100" i="2"/>
  <c r="W96" i="2"/>
  <c r="B100" i="2"/>
  <c r="AF92" i="2"/>
  <c r="L98" i="2"/>
  <c r="C101" i="2"/>
  <c r="T89" i="2"/>
  <c r="B99" i="2"/>
  <c r="O91" i="2"/>
  <c r="E98" i="2"/>
  <c r="R97" i="2"/>
  <c r="N89" i="2"/>
  <c r="O99" i="2"/>
  <c r="O89" i="2"/>
  <c r="O88" i="2"/>
  <c r="BP62" i="4" s="1"/>
  <c r="BP63" i="4" s="1"/>
  <c r="T100" i="2"/>
  <c r="O102" i="2"/>
  <c r="H97" i="2"/>
  <c r="H100" i="2"/>
  <c r="N99" i="2"/>
  <c r="C89" i="2"/>
  <c r="E94" i="2"/>
  <c r="T99" i="2"/>
  <c r="O101" i="2"/>
  <c r="C94" i="2"/>
  <c r="K99" i="2"/>
  <c r="AA96" i="2"/>
  <c r="AF100" i="2"/>
  <c r="R93" i="2"/>
  <c r="X95" i="2"/>
  <c r="AC101" i="2"/>
  <c r="B94" i="2"/>
  <c r="AF90" i="2"/>
  <c r="B103" i="2"/>
  <c r="N95" i="2"/>
  <c r="W102" i="2"/>
  <c r="U91" i="2"/>
  <c r="AA92" i="2"/>
  <c r="H102" i="2"/>
  <c r="K97" i="2"/>
  <c r="C103" i="2"/>
  <c r="AD90" i="2"/>
  <c r="L88" i="2"/>
  <c r="W101" i="2"/>
  <c r="AA88" i="2"/>
  <c r="AA101" i="2"/>
  <c r="AD89" i="2"/>
  <c r="U92" i="2"/>
  <c r="B93" i="2"/>
  <c r="Z100" i="2"/>
  <c r="B102" i="2"/>
  <c r="T94" i="2"/>
  <c r="O96" i="2"/>
  <c r="AD95" i="2"/>
  <c r="AD100" i="2"/>
  <c r="X97" i="2"/>
  <c r="L92" i="2"/>
  <c r="E90" i="2"/>
  <c r="AA94" i="2"/>
  <c r="Q101" i="2"/>
  <c r="U89" i="2"/>
  <c r="U102" i="2"/>
  <c r="B97" i="2"/>
  <c r="H101" i="2"/>
  <c r="AD93" i="2"/>
  <c r="K92" i="2"/>
  <c r="L91" i="2"/>
  <c r="E88" i="2"/>
  <c r="R88" i="2"/>
  <c r="Q103" i="2"/>
  <c r="F90" i="2"/>
  <c r="Z102" i="2"/>
  <c r="AG97" i="2"/>
  <c r="Q99" i="2"/>
  <c r="C95" i="2"/>
  <c r="X89" i="2"/>
  <c r="U94" i="2"/>
  <c r="K100" i="2"/>
  <c r="K90" i="2"/>
  <c r="L93" i="2"/>
  <c r="AA89" i="2"/>
  <c r="Z99" i="2"/>
  <c r="AG96" i="2"/>
  <c r="X92" i="2"/>
  <c r="E100" i="2"/>
  <c r="F94" i="2"/>
  <c r="AC100" i="2"/>
  <c r="X102" i="2"/>
  <c r="I88" i="2"/>
  <c r="Q97" i="2"/>
  <c r="Z97" i="2"/>
  <c r="I91" i="2"/>
  <c r="AD103" i="2"/>
  <c r="E102" i="2"/>
  <c r="B98" i="2"/>
  <c r="E95" i="2"/>
  <c r="Z89" i="2"/>
  <c r="K102" i="2"/>
  <c r="F88" i="2"/>
  <c r="AD98" i="2"/>
  <c r="R100" i="2"/>
  <c r="T91" i="2"/>
  <c r="AC95" i="2"/>
  <c r="N93" i="2"/>
  <c r="Q93" i="2"/>
  <c r="H103" i="2"/>
  <c r="AC102" i="2"/>
  <c r="H92" i="2"/>
  <c r="L95" i="2"/>
  <c r="K95" i="2"/>
  <c r="C91" i="2"/>
  <c r="AD97" i="2"/>
  <c r="O103" i="2"/>
  <c r="R99" i="2"/>
  <c r="T90" i="2"/>
  <c r="AF88" i="2"/>
  <c r="F103" i="2"/>
  <c r="B95" i="2"/>
  <c r="T98" i="2"/>
  <c r="H94" i="2"/>
  <c r="N102" i="2"/>
  <c r="L99" i="2"/>
  <c r="CC13" i="2"/>
  <c r="BW13" i="2"/>
  <c r="BY13" i="2"/>
  <c r="BT13" i="2"/>
  <c r="BX13" i="2"/>
  <c r="X184" i="2"/>
  <c r="BR10" i="2"/>
  <c r="BX10" i="2" s="1"/>
  <c r="CF31" i="2"/>
  <c r="BW10" i="2"/>
  <c r="CC10" i="2"/>
  <c r="I184" i="2"/>
  <c r="CL12" i="2"/>
  <c r="BY10" i="2"/>
  <c r="CM12" i="2"/>
  <c r="AC184" i="2"/>
  <c r="T184" i="2"/>
  <c r="AC205" i="2"/>
  <c r="Q184" i="2"/>
  <c r="AF184" i="2"/>
  <c r="I205" i="2"/>
  <c r="R205" i="2"/>
  <c r="F184" i="2"/>
  <c r="X205" i="2"/>
  <c r="AG205" i="2"/>
  <c r="K205" i="2"/>
  <c r="E184" i="2"/>
  <c r="N205" i="2"/>
  <c r="AF205" i="2"/>
  <c r="Z205" i="2"/>
  <c r="AD205" i="2"/>
  <c r="R184" i="2"/>
  <c r="H184" i="2"/>
  <c r="U205" i="2"/>
  <c r="AA205" i="2"/>
  <c r="W205" i="2"/>
  <c r="O205" i="2"/>
  <c r="X206" i="2"/>
  <c r="T206" i="2"/>
  <c r="L205" i="2"/>
  <c r="C206" i="2"/>
  <c r="O206" i="2"/>
  <c r="AA184" i="2"/>
  <c r="H205" i="2"/>
  <c r="K206" i="2"/>
  <c r="C205" i="2"/>
  <c r="C184" i="2"/>
  <c r="B205" i="2"/>
  <c r="B184" i="2"/>
  <c r="F205" i="2"/>
  <c r="W206" i="2"/>
  <c r="Q205" i="2"/>
  <c r="O184" i="2"/>
  <c r="E206" i="2"/>
  <c r="R206" i="2"/>
  <c r="F206" i="2"/>
  <c r="AG184" i="2"/>
  <c r="AD184" i="2"/>
  <c r="W184" i="2"/>
  <c r="B206" i="2"/>
  <c r="L206" i="2"/>
  <c r="L184" i="2"/>
  <c r="U184" i="2"/>
  <c r="I206" i="2"/>
  <c r="K184" i="2"/>
  <c r="E205" i="2"/>
  <c r="T205" i="2"/>
  <c r="N184" i="2"/>
  <c r="Z184" i="2"/>
  <c r="N206" i="2"/>
  <c r="Z206" i="2"/>
  <c r="AA206" i="2"/>
  <c r="AF206" i="2"/>
  <c r="H206" i="2"/>
  <c r="AG206" i="2"/>
  <c r="U206" i="2"/>
  <c r="Q206" i="2"/>
  <c r="AD206" i="2"/>
  <c r="AC206" i="2"/>
  <c r="CL10" i="2"/>
  <c r="CG52" i="2"/>
  <c r="CM29" i="2"/>
  <c r="CL29" i="2"/>
  <c r="Q26" i="4"/>
  <c r="R26" i="4"/>
  <c r="CK53" i="2"/>
  <c r="CM22" i="2"/>
  <c r="CC11" i="2"/>
  <c r="CM10" i="2"/>
  <c r="CM28" i="2"/>
  <c r="CM13" i="2"/>
  <c r="CL14" i="2"/>
  <c r="CL15" i="2"/>
  <c r="CL19" i="2"/>
  <c r="CM24" i="2"/>
  <c r="CL13" i="2"/>
  <c r="CL23" i="2"/>
  <c r="CM26" i="2"/>
  <c r="CL27" i="2"/>
  <c r="CL21" i="2"/>
  <c r="CM25" i="2"/>
  <c r="CM27" i="2"/>
  <c r="CL30" i="2"/>
  <c r="CM16" i="2"/>
  <c r="CM21" i="2"/>
  <c r="CL26" i="2"/>
  <c r="BU11" i="2"/>
  <c r="CL11" i="2"/>
  <c r="CL17" i="2"/>
  <c r="BV11" i="2"/>
  <c r="CM11" i="2"/>
  <c r="BT11" i="2"/>
  <c r="CL24" i="2"/>
  <c r="CL22" i="2"/>
  <c r="CM23" i="2"/>
  <c r="CL28" i="2"/>
  <c r="CL25" i="2"/>
  <c r="CM18" i="2"/>
  <c r="CM14" i="2"/>
  <c r="CM30" i="2"/>
  <c r="CL16" i="2"/>
  <c r="CM17" i="2"/>
  <c r="CL18" i="2"/>
  <c r="CM20" i="2"/>
  <c r="CM19" i="2"/>
  <c r="CL20" i="2"/>
  <c r="CM15" i="2"/>
  <c r="AG174" i="2"/>
  <c r="AC174" i="2"/>
  <c r="X174" i="2"/>
  <c r="Z174" i="2"/>
  <c r="F174" i="2"/>
  <c r="AA174" i="2"/>
  <c r="L174" i="2"/>
  <c r="AF174" i="2"/>
  <c r="CJ40" i="2"/>
  <c r="I174" i="2"/>
  <c r="E174" i="2"/>
  <c r="W174" i="2"/>
  <c r="H174" i="2"/>
  <c r="U174" i="2"/>
  <c r="CH40" i="2"/>
  <c r="CI52" i="2"/>
  <c r="CH38" i="2"/>
  <c r="CK48" i="2"/>
  <c r="CF39" i="2"/>
  <c r="CI40" i="2"/>
  <c r="CI42" i="2"/>
  <c r="CJ51" i="2"/>
  <c r="CG40" i="2"/>
  <c r="CI47" i="2"/>
  <c r="CG51" i="2"/>
  <c r="CG47" i="2"/>
  <c r="CG49" i="2"/>
  <c r="CF38" i="2"/>
  <c r="CI51" i="2"/>
  <c r="CJ48" i="2"/>
  <c r="CI45" i="2"/>
  <c r="CJ39" i="2"/>
  <c r="CH39" i="2"/>
  <c r="CI38" i="2"/>
  <c r="CI49" i="2"/>
  <c r="CN56" i="2"/>
  <c r="CJ36" i="2"/>
  <c r="DH56" i="2"/>
  <c r="CH54" i="2"/>
  <c r="CF53" i="2"/>
  <c r="AI111" i="2"/>
  <c r="AJ111" i="2"/>
  <c r="CK54" i="2"/>
  <c r="CF54" i="2"/>
  <c r="CG54" i="2"/>
  <c r="CU55" i="2"/>
  <c r="CG38" i="2"/>
  <c r="CK39" i="2"/>
  <c r="CK49" i="2"/>
  <c r="CJ42" i="2"/>
  <c r="CF49" i="2"/>
  <c r="DF55" i="2"/>
  <c r="DC55" i="2"/>
  <c r="CF52" i="2"/>
  <c r="DE55" i="2"/>
  <c r="CJ54" i="2"/>
  <c r="CH52" i="2"/>
  <c r="CZ55" i="2"/>
  <c r="CJ49" i="2"/>
  <c r="CK36" i="2"/>
  <c r="CF40" i="2"/>
  <c r="CH49" i="2"/>
  <c r="CO56" i="2"/>
  <c r="DA55" i="2"/>
  <c r="CK46" i="2"/>
  <c r="CH50" i="2"/>
  <c r="CK51" i="2"/>
  <c r="DG56" i="2"/>
  <c r="CG53" i="2"/>
  <c r="CH46" i="2"/>
  <c r="CJ52" i="2"/>
  <c r="CI53" i="2"/>
  <c r="CF50" i="2"/>
  <c r="DD55" i="2"/>
  <c r="CG31" i="2"/>
  <c r="CG35" i="2"/>
  <c r="CJ44" i="2"/>
  <c r="CY56" i="2"/>
  <c r="CI48" i="2"/>
  <c r="CH43" i="2"/>
  <c r="CX56" i="2"/>
  <c r="CV55" i="2"/>
  <c r="CJ50" i="2"/>
  <c r="CI39" i="2"/>
  <c r="CI46" i="2"/>
  <c r="DF56" i="2"/>
  <c r="CG43" i="2"/>
  <c r="CI50" i="2"/>
  <c r="CJ47" i="2"/>
  <c r="CK42" i="2"/>
  <c r="CF41" i="2"/>
  <c r="CI43" i="2"/>
  <c r="CG41" i="2"/>
  <c r="DI56" i="2"/>
  <c r="CS55" i="2"/>
  <c r="DA56" i="2"/>
  <c r="CP55" i="2"/>
  <c r="CK52" i="2"/>
  <c r="CH41" i="2"/>
  <c r="CR56" i="2"/>
  <c r="CK35" i="2"/>
  <c r="CK31" i="2"/>
  <c r="CI44" i="2"/>
  <c r="CH48" i="2"/>
  <c r="DG55" i="2"/>
  <c r="CV56" i="2"/>
  <c r="CH31" i="2"/>
  <c r="CH35" i="2"/>
  <c r="CG42" i="2"/>
  <c r="CF35" i="2"/>
  <c r="CF43" i="2"/>
  <c r="CU56" i="2"/>
  <c r="CQ56" i="2"/>
  <c r="CG39" i="2"/>
  <c r="CI37" i="2"/>
  <c r="CY55" i="2"/>
  <c r="CJ43" i="2"/>
  <c r="CG37" i="2"/>
  <c r="CP56" i="2"/>
  <c r="CJ38" i="2"/>
  <c r="CF48" i="2"/>
  <c r="CI41" i="2"/>
  <c r="CK43" i="2"/>
  <c r="CK45" i="2"/>
  <c r="CJ53" i="2"/>
  <c r="CK37" i="2"/>
  <c r="CG44" i="2"/>
  <c r="CH44" i="2"/>
  <c r="CQ55" i="2"/>
  <c r="CH37" i="2"/>
  <c r="CF37" i="2"/>
  <c r="CR55" i="2"/>
  <c r="CN55" i="2"/>
  <c r="CX55" i="2"/>
  <c r="CK47" i="2"/>
  <c r="CI54" i="2"/>
  <c r="CF45" i="2"/>
  <c r="CH53" i="2"/>
  <c r="CF42" i="2"/>
  <c r="CK41" i="2"/>
  <c r="CW55" i="2"/>
  <c r="DI55" i="2"/>
  <c r="CG46" i="2"/>
  <c r="DB56" i="2"/>
  <c r="DB55" i="2"/>
  <c r="CW56" i="2"/>
  <c r="CF44" i="2"/>
  <c r="CF51" i="2"/>
  <c r="CS56" i="2"/>
  <c r="CH51" i="2"/>
  <c r="CT56" i="2"/>
  <c r="CK38" i="2"/>
  <c r="CJ35" i="2"/>
  <c r="CJ31" i="2"/>
  <c r="CI36" i="2"/>
  <c r="CH45" i="2"/>
  <c r="CH42" i="2"/>
  <c r="DC56" i="2"/>
  <c r="ES32" i="2"/>
  <c r="CJ45" i="2"/>
  <c r="CK40" i="2"/>
  <c r="CO55" i="2"/>
  <c r="CG50" i="2"/>
  <c r="CJ41" i="2"/>
  <c r="CJ46" i="2"/>
  <c r="CF47" i="2"/>
  <c r="DE56" i="2"/>
  <c r="CG45" i="2"/>
  <c r="DD56" i="2"/>
  <c r="CG48" i="2"/>
  <c r="DH55" i="2"/>
  <c r="CK44" i="2"/>
  <c r="CG36" i="2"/>
  <c r="CH36" i="2"/>
  <c r="CJ37" i="2"/>
  <c r="CK50" i="2"/>
  <c r="CI35" i="2"/>
  <c r="CI31" i="2"/>
  <c r="CF36" i="2"/>
  <c r="CF46" i="2"/>
  <c r="CH47" i="2"/>
  <c r="CT55" i="2"/>
  <c r="CZ56" i="2"/>
  <c r="O201" i="2"/>
  <c r="N176" i="2"/>
  <c r="H202" i="2"/>
  <c r="AD200" i="2"/>
  <c r="C175" i="2"/>
  <c r="Z176" i="2"/>
  <c r="T176" i="2"/>
  <c r="U202" i="2"/>
  <c r="AG202" i="2"/>
  <c r="B176" i="2"/>
  <c r="N174" i="2"/>
  <c r="X176" i="2"/>
  <c r="T175" i="2"/>
  <c r="X175" i="2"/>
  <c r="C176" i="2"/>
  <c r="AA201" i="2"/>
  <c r="I202" i="2"/>
  <c r="T169" i="2"/>
  <c r="T200" i="2"/>
  <c r="AD176" i="2"/>
  <c r="U176" i="2"/>
  <c r="N175" i="2"/>
  <c r="F202" i="2"/>
  <c r="F176" i="2"/>
  <c r="AC202" i="2"/>
  <c r="Q169" i="2"/>
  <c r="Q200" i="2"/>
  <c r="Q201" i="2"/>
  <c r="AD174" i="2"/>
  <c r="I176" i="2"/>
  <c r="R169" i="2"/>
  <c r="R200" i="2"/>
  <c r="E201" i="2"/>
  <c r="AA176" i="2"/>
  <c r="R201" i="2"/>
  <c r="C199" i="2"/>
  <c r="C174" i="2"/>
  <c r="B175" i="2"/>
  <c r="T201" i="2"/>
  <c r="Q175" i="2"/>
  <c r="N169" i="2"/>
  <c r="N200" i="2"/>
  <c r="H169" i="2"/>
  <c r="H200" i="2"/>
  <c r="H191" i="2"/>
  <c r="AG169" i="2"/>
  <c r="AG200" i="2"/>
  <c r="E179" i="2"/>
  <c r="E200" i="2"/>
  <c r="W201" i="2"/>
  <c r="B202" i="2"/>
  <c r="H186" i="2"/>
  <c r="H176" i="2"/>
  <c r="Q202" i="2"/>
  <c r="K191" i="2"/>
  <c r="AC201" i="2"/>
  <c r="AA175" i="2"/>
  <c r="F201" i="2"/>
  <c r="O191" i="2"/>
  <c r="I201" i="2"/>
  <c r="AF202" i="2"/>
  <c r="L169" i="2"/>
  <c r="L200" i="2"/>
  <c r="F175" i="2"/>
  <c r="AF201" i="2"/>
  <c r="AF176" i="2"/>
  <c r="K200" i="2"/>
  <c r="W175" i="2"/>
  <c r="W176" i="2"/>
  <c r="L201" i="2"/>
  <c r="AG176" i="2"/>
  <c r="AD201" i="2"/>
  <c r="Z201" i="2"/>
  <c r="K176" i="2"/>
  <c r="B199" i="2"/>
  <c r="B174" i="2"/>
  <c r="K174" i="2"/>
  <c r="F179" i="2"/>
  <c r="F200" i="2"/>
  <c r="AD202" i="2"/>
  <c r="L176" i="2"/>
  <c r="Z175" i="2"/>
  <c r="R175" i="2"/>
  <c r="T202" i="2"/>
  <c r="B200" i="2"/>
  <c r="O169" i="2"/>
  <c r="O200" i="2"/>
  <c r="AC176" i="2"/>
  <c r="O175" i="2"/>
  <c r="O176" i="2"/>
  <c r="I181" i="2"/>
  <c r="B201" i="2"/>
  <c r="W200" i="2"/>
  <c r="Q174" i="2"/>
  <c r="AG175" i="2"/>
  <c r="L175" i="2"/>
  <c r="AD175" i="2"/>
  <c r="K202" i="2"/>
  <c r="R174" i="2"/>
  <c r="AA169" i="2"/>
  <c r="AA200" i="2"/>
  <c r="L202" i="2"/>
  <c r="R202" i="2"/>
  <c r="E202" i="2"/>
  <c r="C202" i="2"/>
  <c r="C201" i="2"/>
  <c r="H201" i="2"/>
  <c r="AF175" i="2"/>
  <c r="R176" i="2"/>
  <c r="C200" i="2"/>
  <c r="E176" i="2"/>
  <c r="U200" i="2"/>
  <c r="H175" i="2"/>
  <c r="X201" i="2"/>
  <c r="K175" i="2"/>
  <c r="AG201" i="2"/>
  <c r="O202" i="2"/>
  <c r="X202" i="2"/>
  <c r="E175" i="2"/>
  <c r="U201" i="2"/>
  <c r="I169" i="2"/>
  <c r="I200" i="2"/>
  <c r="W202" i="2"/>
  <c r="AA202" i="2"/>
  <c r="U169" i="2"/>
  <c r="T174" i="2"/>
  <c r="K201" i="2"/>
  <c r="AC169" i="2"/>
  <c r="AC200" i="2"/>
  <c r="N202" i="2"/>
  <c r="L191" i="2"/>
  <c r="AF169" i="2"/>
  <c r="AF200" i="2"/>
  <c r="U179" i="2"/>
  <c r="U175" i="2"/>
  <c r="I175" i="2"/>
  <c r="AC175" i="2"/>
  <c r="X179" i="2"/>
  <c r="X200" i="2"/>
  <c r="Q176" i="2"/>
  <c r="Z200" i="2"/>
  <c r="Z202" i="2"/>
  <c r="N201" i="2"/>
  <c r="O174" i="2"/>
  <c r="H185" i="2"/>
  <c r="W189" i="2"/>
  <c r="B185" i="2"/>
  <c r="AA185" i="2"/>
  <c r="AD185" i="2"/>
  <c r="U185" i="2"/>
  <c r="I186" i="2"/>
  <c r="K185" i="2"/>
  <c r="E185" i="2"/>
  <c r="Q186" i="2"/>
  <c r="C186" i="2"/>
  <c r="B186" i="2"/>
  <c r="AC185" i="2"/>
  <c r="L190" i="2"/>
  <c r="N185" i="2"/>
  <c r="L186" i="2"/>
  <c r="AD186" i="2"/>
  <c r="C185" i="2"/>
  <c r="AD189" i="2"/>
  <c r="L185" i="2"/>
  <c r="R189" i="2"/>
  <c r="AF185" i="2"/>
  <c r="T186" i="2"/>
  <c r="X189" i="2"/>
  <c r="AG186" i="2"/>
  <c r="Q189" i="2"/>
  <c r="Q185" i="2"/>
  <c r="R185" i="2"/>
  <c r="X186" i="2"/>
  <c r="F186" i="2"/>
  <c r="F189" i="2"/>
  <c r="AG185" i="2"/>
  <c r="W186" i="2"/>
  <c r="O185" i="2"/>
  <c r="K186" i="2"/>
  <c r="Z185" i="2"/>
  <c r="R186" i="2"/>
  <c r="N189" i="2"/>
  <c r="I189" i="2"/>
  <c r="K189" i="2"/>
  <c r="AA186" i="2"/>
  <c r="W185" i="2"/>
  <c r="B169" i="2"/>
  <c r="U186" i="2"/>
  <c r="N186" i="2"/>
  <c r="X185" i="2"/>
  <c r="I185" i="2"/>
  <c r="AC186" i="2"/>
  <c r="F185" i="2"/>
  <c r="T185" i="2"/>
  <c r="E186" i="2"/>
  <c r="U189" i="2"/>
  <c r="Z186" i="2"/>
  <c r="AF186" i="2"/>
  <c r="O186" i="2"/>
  <c r="AD190" i="2"/>
  <c r="H189" i="2"/>
  <c r="W190" i="2"/>
  <c r="E190" i="2"/>
  <c r="C189" i="2"/>
  <c r="C191" i="2"/>
  <c r="F191" i="2"/>
  <c r="AF190" i="2"/>
  <c r="AA189" i="2"/>
  <c r="O179" i="2"/>
  <c r="O189" i="2"/>
  <c r="W191" i="2"/>
  <c r="C190" i="2"/>
  <c r="Q190" i="2"/>
  <c r="N191" i="2"/>
  <c r="X191" i="2"/>
  <c r="B190" i="2"/>
  <c r="AG191" i="2"/>
  <c r="U190" i="2"/>
  <c r="R190" i="2"/>
  <c r="K190" i="2"/>
  <c r="Z191" i="2"/>
  <c r="E189" i="2"/>
  <c r="AC191" i="2"/>
  <c r="U191" i="2"/>
  <c r="N190" i="2"/>
  <c r="AF189" i="2"/>
  <c r="AD191" i="2"/>
  <c r="Z190" i="2"/>
  <c r="F190" i="2"/>
  <c r="R191" i="2"/>
  <c r="T190" i="2"/>
  <c r="I191" i="2"/>
  <c r="E191" i="2"/>
  <c r="X190" i="2"/>
  <c r="O190" i="2"/>
  <c r="T191" i="2"/>
  <c r="H179" i="2"/>
  <c r="L189" i="2"/>
  <c r="Z189" i="2"/>
  <c r="B189" i="2"/>
  <c r="I190" i="2"/>
  <c r="AA191" i="2"/>
  <c r="Q191" i="2"/>
  <c r="AA190" i="2"/>
  <c r="B191" i="2"/>
  <c r="AC189" i="2"/>
  <c r="AC190" i="2"/>
  <c r="H190" i="2"/>
  <c r="K179" i="2"/>
  <c r="AG189" i="2"/>
  <c r="O194" i="2"/>
  <c r="T189" i="2"/>
  <c r="AF191" i="2"/>
  <c r="AG190" i="2"/>
  <c r="W194" i="2"/>
  <c r="L194" i="2"/>
  <c r="K169" i="2"/>
  <c r="AF179" i="2"/>
  <c r="E195" i="2"/>
  <c r="Z194" i="2"/>
  <c r="W169" i="2"/>
  <c r="R179" i="2"/>
  <c r="W196" i="2"/>
  <c r="H194" i="2"/>
  <c r="C179" i="2"/>
  <c r="E169" i="2"/>
  <c r="X196" i="2"/>
  <c r="K180" i="2"/>
  <c r="W179" i="2"/>
  <c r="AD179" i="2"/>
  <c r="K195" i="2"/>
  <c r="O195" i="2"/>
  <c r="T170" i="2"/>
  <c r="L196" i="2"/>
  <c r="U194" i="2"/>
  <c r="R195" i="2"/>
  <c r="R194" i="2"/>
  <c r="B196" i="2"/>
  <c r="F195" i="2"/>
  <c r="AG170" i="2"/>
  <c r="AG196" i="2"/>
  <c r="Q180" i="2"/>
  <c r="AC170" i="2"/>
  <c r="E180" i="2"/>
  <c r="Z180" i="2"/>
  <c r="Z181" i="2"/>
  <c r="Z196" i="2"/>
  <c r="L171" i="2"/>
  <c r="B170" i="2"/>
  <c r="AA180" i="2"/>
  <c r="C170" i="2"/>
  <c r="N195" i="2"/>
  <c r="F169" i="2"/>
  <c r="K171" i="2"/>
  <c r="C180" i="2"/>
  <c r="AC171" i="2"/>
  <c r="Z170" i="2"/>
  <c r="U181" i="2"/>
  <c r="F180" i="2"/>
  <c r="T180" i="2"/>
  <c r="R170" i="2"/>
  <c r="Z169" i="2"/>
  <c r="N170" i="2"/>
  <c r="F181" i="2"/>
  <c r="Z179" i="2"/>
  <c r="X195" i="2"/>
  <c r="H196" i="2"/>
  <c r="AA196" i="2"/>
  <c r="K170" i="2"/>
  <c r="AF181" i="2"/>
  <c r="O181" i="2"/>
  <c r="X181" i="2"/>
  <c r="I195" i="2"/>
  <c r="L180" i="2"/>
  <c r="AD169" i="2"/>
  <c r="X194" i="2"/>
  <c r="AA179" i="2"/>
  <c r="F170" i="2"/>
  <c r="O170" i="2"/>
  <c r="AG195" i="2"/>
  <c r="X180" i="2"/>
  <c r="T196" i="2"/>
  <c r="AC181" i="2"/>
  <c r="I180" i="2"/>
  <c r="N179" i="2"/>
  <c r="AD194" i="2"/>
  <c r="C194" i="2"/>
  <c r="X169" i="2"/>
  <c r="AA194" i="2"/>
  <c r="U171" i="2"/>
  <c r="AG171" i="2"/>
  <c r="AA195" i="2"/>
  <c r="I170" i="2"/>
  <c r="K194" i="2"/>
  <c r="C171" i="2"/>
  <c r="AG194" i="2"/>
  <c r="AA170" i="2"/>
  <c r="Q170" i="2"/>
  <c r="B194" i="2"/>
  <c r="O180" i="2"/>
  <c r="AF170" i="2"/>
  <c r="T171" i="2"/>
  <c r="AF194" i="2"/>
  <c r="R196" i="2"/>
  <c r="Q179" i="2"/>
  <c r="L195" i="2"/>
  <c r="C169" i="2"/>
  <c r="U195" i="2"/>
  <c r="AD171" i="2"/>
  <c r="N194" i="2"/>
  <c r="AC179" i="2"/>
  <c r="AD180" i="2"/>
  <c r="I171" i="2"/>
  <c r="B171" i="2"/>
  <c r="AG180" i="2"/>
  <c r="H195" i="2"/>
  <c r="N181" i="2"/>
  <c r="H181" i="2"/>
  <c r="T194" i="2"/>
  <c r="E196" i="2"/>
  <c r="E181" i="2"/>
  <c r="U180" i="2"/>
  <c r="C196" i="2"/>
  <c r="H180" i="2"/>
  <c r="U170" i="2"/>
  <c r="I179" i="2"/>
  <c r="Q181" i="2"/>
  <c r="F171" i="2"/>
  <c r="AD170" i="2"/>
  <c r="E171" i="2"/>
  <c r="R181" i="2"/>
  <c r="AG179" i="2"/>
  <c r="T195" i="2"/>
  <c r="B195" i="2"/>
  <c r="AF171" i="2"/>
  <c r="O171" i="2"/>
  <c r="I196" i="2"/>
  <c r="AC194" i="2"/>
  <c r="AD195" i="2"/>
  <c r="AF196" i="2"/>
  <c r="AA181" i="2"/>
  <c r="N171" i="2"/>
  <c r="T179" i="2"/>
  <c r="AG181" i="2"/>
  <c r="AA171" i="2"/>
  <c r="Z195" i="2"/>
  <c r="Q195" i="2"/>
  <c r="F196" i="2"/>
  <c r="W170" i="2"/>
  <c r="K196" i="2"/>
  <c r="I194" i="2"/>
  <c r="E170" i="2"/>
  <c r="B181" i="2"/>
  <c r="N180" i="2"/>
  <c r="Z171" i="2"/>
  <c r="L170" i="2"/>
  <c r="W180" i="2"/>
  <c r="K181" i="2"/>
  <c r="R180" i="2"/>
  <c r="X171" i="2"/>
  <c r="Q196" i="2"/>
  <c r="X170" i="2"/>
  <c r="AC195" i="2"/>
  <c r="AD181" i="2"/>
  <c r="R171" i="2"/>
  <c r="B180" i="2"/>
  <c r="F194" i="2"/>
  <c r="L181" i="2"/>
  <c r="AC180" i="2"/>
  <c r="B179" i="2"/>
  <c r="L179" i="2"/>
  <c r="C181" i="2"/>
  <c r="AF180" i="2"/>
  <c r="AD196" i="2"/>
  <c r="E194" i="2"/>
  <c r="U196" i="2"/>
  <c r="T181" i="2"/>
  <c r="H170" i="2"/>
  <c r="Q194" i="2"/>
  <c r="C195" i="2"/>
  <c r="W171" i="2"/>
  <c r="H171" i="2"/>
  <c r="AF195" i="2"/>
  <c r="W181" i="2"/>
  <c r="O196" i="2"/>
  <c r="AC196" i="2"/>
  <c r="W195" i="2"/>
  <c r="Q171" i="2"/>
  <c r="N196" i="2"/>
  <c r="EQ11" i="2"/>
  <c r="BP64" i="4" l="1"/>
  <c r="BP65" i="4" s="1"/>
  <c r="BP66" i="4" s="1"/>
  <c r="BP67" i="4" s="1"/>
  <c r="BP68" i="4" s="1"/>
  <c r="BP69" i="4" s="1"/>
  <c r="BP70" i="4" s="1"/>
  <c r="BP71" i="4" s="1"/>
  <c r="BP72" i="4" s="1"/>
  <c r="BP73" i="4" s="1"/>
  <c r="BP74" i="4" s="1"/>
  <c r="BP75" i="4" s="1"/>
  <c r="BP76" i="4" s="1"/>
  <c r="BP77" i="4" s="1"/>
  <c r="BO81" i="4" s="1"/>
  <c r="BL63" i="4"/>
  <c r="BL64" i="4" s="1"/>
  <c r="BL65" i="4" s="1"/>
  <c r="BL66" i="4" s="1"/>
  <c r="BL67" i="4" s="1"/>
  <c r="BL68" i="4" s="1"/>
  <c r="BL69" i="4" s="1"/>
  <c r="BL70" i="4" s="1"/>
  <c r="BL71" i="4" s="1"/>
  <c r="BL72" i="4" s="1"/>
  <c r="BL73" i="4" s="1"/>
  <c r="BL74" i="4" s="1"/>
  <c r="BL75" i="4" s="1"/>
  <c r="BL76" i="4" s="1"/>
  <c r="BL77" i="4" s="1"/>
  <c r="BK81" i="4" s="1"/>
  <c r="BJ63" i="4"/>
  <c r="BJ64" i="4" s="1"/>
  <c r="BJ65" i="4" s="1"/>
  <c r="BJ66" i="4" s="1"/>
  <c r="BJ67" i="4" s="1"/>
  <c r="BJ68" i="4" s="1"/>
  <c r="BJ69" i="4" s="1"/>
  <c r="BJ70" i="4" s="1"/>
  <c r="BJ71" i="4" s="1"/>
  <c r="BJ72" i="4" s="1"/>
  <c r="BJ73" i="4" s="1"/>
  <c r="BJ74" i="4" s="1"/>
  <c r="BJ75" i="4" s="1"/>
  <c r="BJ76" i="4" s="1"/>
  <c r="BJ77" i="4" s="1"/>
  <c r="BI81" i="4" s="1"/>
  <c r="BZ13" i="2"/>
  <c r="BN63" i="4"/>
  <c r="BN64" i="4" s="1"/>
  <c r="BN65" i="4" s="1"/>
  <c r="BN66" i="4" s="1"/>
  <c r="BN67" i="4" s="1"/>
  <c r="BN68" i="4" s="1"/>
  <c r="BN69" i="4" s="1"/>
  <c r="BN70" i="4" s="1"/>
  <c r="BN71" i="4" s="1"/>
  <c r="BN72" i="4" s="1"/>
  <c r="BN73" i="4" s="1"/>
  <c r="BN74" i="4" s="1"/>
  <c r="BN75" i="4" s="1"/>
  <c r="BN76" i="4" s="1"/>
  <c r="BN77" i="4" s="1"/>
  <c r="BM81" i="4" s="1"/>
  <c r="BT10" i="2"/>
  <c r="BZ10" i="2"/>
  <c r="CL54" i="2"/>
  <c r="CM54" i="2"/>
  <c r="CL53" i="2"/>
  <c r="CM53" i="2"/>
  <c r="R27" i="4"/>
  <c r="Q27" i="4"/>
  <c r="CM46" i="2"/>
  <c r="CM52" i="2"/>
  <c r="CM37" i="2"/>
  <c r="CM42" i="2"/>
  <c r="CL39" i="2"/>
  <c r="CM45" i="2"/>
  <c r="CL40" i="2"/>
  <c r="CM49" i="2"/>
  <c r="CL43" i="2"/>
  <c r="CL36" i="2"/>
  <c r="CM48" i="2"/>
  <c r="CL38" i="2"/>
  <c r="CM36" i="2"/>
  <c r="CL46" i="2"/>
  <c r="CL51" i="2"/>
  <c r="CM39" i="2"/>
  <c r="CM40" i="2"/>
  <c r="CL45" i="2"/>
  <c r="CM35" i="2"/>
  <c r="CL50" i="2"/>
  <c r="CL42" i="2"/>
  <c r="CL37" i="2"/>
  <c r="W104" i="2"/>
  <c r="CM44" i="2"/>
  <c r="CM50" i="2"/>
  <c r="I104" i="2"/>
  <c r="CL44" i="2"/>
  <c r="CL47" i="2"/>
  <c r="CM51" i="2"/>
  <c r="CL41" i="2"/>
  <c r="CM47" i="2"/>
  <c r="AD104" i="2"/>
  <c r="CM43" i="2"/>
  <c r="X104" i="2"/>
  <c r="AA104" i="2"/>
  <c r="R104" i="2"/>
  <c r="T104" i="2"/>
  <c r="Q104" i="2"/>
  <c r="BY11" i="2"/>
  <c r="AF104" i="2"/>
  <c r="CL49" i="2"/>
  <c r="CL48" i="2"/>
  <c r="Z104" i="2"/>
  <c r="U104" i="2"/>
  <c r="N104" i="2"/>
  <c r="O104" i="2"/>
  <c r="AG104" i="2"/>
  <c r="BW11" i="2"/>
  <c r="CL35" i="2"/>
  <c r="BX11" i="2"/>
  <c r="E104" i="2"/>
  <c r="AC104" i="2"/>
  <c r="H104" i="2"/>
  <c r="C104" i="2"/>
  <c r="CM38" i="2"/>
  <c r="CM41" i="2"/>
  <c r="K104" i="2"/>
  <c r="CL52" i="2"/>
  <c r="F104" i="2"/>
  <c r="B104" i="2"/>
  <c r="L104" i="2"/>
  <c r="L105" i="2"/>
  <c r="X105" i="2"/>
  <c r="AD105" i="2"/>
  <c r="O105" i="2"/>
  <c r="B105" i="2"/>
  <c r="I105" i="2"/>
  <c r="AF105" i="2"/>
  <c r="AA105" i="2"/>
  <c r="C105" i="2"/>
  <c r="U105" i="2"/>
  <c r="CJ55" i="2"/>
  <c r="CG56" i="2"/>
  <c r="K105" i="2"/>
  <c r="N105" i="2"/>
  <c r="AG105" i="2"/>
  <c r="E105" i="2"/>
  <c r="H105" i="2"/>
  <c r="Q105" i="2"/>
  <c r="T105" i="2"/>
  <c r="CK55" i="2"/>
  <c r="F105" i="2"/>
  <c r="W105" i="2"/>
  <c r="AC105" i="2"/>
  <c r="R105" i="2"/>
  <c r="E109" i="2"/>
  <c r="Z105" i="2"/>
  <c r="CI55" i="2"/>
  <c r="CF56" i="2"/>
  <c r="CF55" i="2"/>
  <c r="CH56" i="2"/>
  <c r="CH55" i="2"/>
  <c r="CJ56" i="2"/>
  <c r="CK56" i="2"/>
  <c r="CI56" i="2"/>
  <c r="CG55" i="2"/>
  <c r="I109" i="2"/>
  <c r="AA109" i="2"/>
  <c r="B109" i="2"/>
  <c r="F109" i="2"/>
  <c r="T109" i="2"/>
  <c r="L109" i="2"/>
  <c r="K109" i="2"/>
  <c r="H109" i="2"/>
  <c r="X109" i="2"/>
  <c r="AG109" i="2"/>
  <c r="W107" i="2"/>
  <c r="O109" i="2"/>
  <c r="AC109" i="2"/>
  <c r="C109" i="2"/>
  <c r="AF109" i="2"/>
  <c r="W109" i="2"/>
  <c r="O107" i="2"/>
  <c r="U109" i="2"/>
  <c r="R109" i="2"/>
  <c r="Q109" i="2"/>
  <c r="AD109" i="2"/>
  <c r="N109" i="2"/>
  <c r="Z109" i="2"/>
  <c r="Z107" i="2"/>
  <c r="AD107" i="2"/>
  <c r="U107" i="2"/>
  <c r="E107" i="2"/>
  <c r="C107" i="2"/>
  <c r="H107" i="2"/>
  <c r="I107" i="2"/>
  <c r="X107" i="2"/>
  <c r="AC107" i="2"/>
  <c r="N107" i="2"/>
  <c r="T107" i="2"/>
  <c r="L107" i="2"/>
  <c r="AG107" i="2"/>
  <c r="K107" i="2"/>
  <c r="AF107" i="2"/>
  <c r="AA107" i="2"/>
  <c r="Q107" i="2"/>
  <c r="R107" i="2"/>
  <c r="B107" i="2"/>
  <c r="F107" i="2"/>
  <c r="EQ10" i="2"/>
  <c r="EQ32" i="2" s="1"/>
  <c r="B1" i="1"/>
  <c r="AH25" i="4"/>
  <c r="AH24" i="4"/>
  <c r="AH23" i="4"/>
  <c r="AH22" i="4"/>
  <c r="AH21" i="4"/>
  <c r="AH20" i="4"/>
  <c r="B21" i="4"/>
  <c r="I89" i="4"/>
  <c r="M88" i="4"/>
  <c r="L88" i="4"/>
  <c r="I88" i="4"/>
  <c r="BJ57" i="4"/>
  <c r="BF57" i="4"/>
  <c r="BE57" i="4"/>
  <c r="BA57" i="4"/>
  <c r="AZ57" i="4"/>
  <c r="AW57" i="4"/>
  <c r="AU57" i="4"/>
  <c r="AU4" i="4" s="1"/>
  <c r="AT57" i="4"/>
  <c r="AM57" i="4"/>
  <c r="I57" i="4"/>
  <c r="M56" i="4"/>
  <c r="I56" i="4"/>
  <c r="BJ56" i="4"/>
  <c r="L56" i="4" s="1"/>
  <c r="BF56" i="4"/>
  <c r="K88" i="4" s="1"/>
  <c r="BE56" i="4"/>
  <c r="BA56" i="4"/>
  <c r="AZ56" i="4"/>
  <c r="J56" i="4" s="1"/>
  <c r="AO56" i="4"/>
  <c r="H56" i="4" s="1"/>
  <c r="H88" i="4" s="1"/>
  <c r="AL56" i="4"/>
  <c r="D21" i="4"/>
  <c r="AO57" i="4" l="1"/>
  <c r="AL57" i="4"/>
  <c r="L89" i="4"/>
  <c r="AV4" i="4"/>
  <c r="AW4" i="4" s="1"/>
  <c r="BC57" i="4"/>
  <c r="BH57" i="4"/>
  <c r="AI12" i="4"/>
  <c r="K89" i="4"/>
  <c r="BG57" i="4"/>
  <c r="BB4" i="4" s="1"/>
  <c r="BG58" i="4"/>
  <c r="BB6" i="4" s="1"/>
  <c r="BB57" i="4"/>
  <c r="AY4" i="4" s="1"/>
  <c r="BB58" i="4"/>
  <c r="BI57" i="4"/>
  <c r="BA4" i="4" s="1"/>
  <c r="BI58" i="4"/>
  <c r="BA6" i="4" s="1"/>
  <c r="J57" i="4"/>
  <c r="BD57" i="4"/>
  <c r="AX4" i="4" s="1"/>
  <c r="BD58" i="4"/>
  <c r="AX6" i="4" s="1"/>
  <c r="CM56" i="2"/>
  <c r="CL56" i="2"/>
  <c r="CL55" i="2"/>
  <c r="CM55" i="2"/>
  <c r="BZ11" i="2"/>
  <c r="K57" i="4"/>
  <c r="J89" i="4"/>
  <c r="J88" i="4"/>
  <c r="K56" i="4"/>
  <c r="Z111" i="2"/>
  <c r="AG111" i="2"/>
  <c r="K111" i="2"/>
  <c r="I111" i="2"/>
  <c r="AA111" i="2"/>
  <c r="N111" i="2"/>
  <c r="C111" i="2"/>
  <c r="AC111" i="2"/>
  <c r="B111" i="2"/>
  <c r="W111" i="2"/>
  <c r="O111" i="2"/>
  <c r="AF111" i="2"/>
  <c r="F111" i="2"/>
  <c r="AD111" i="2"/>
  <c r="T111" i="2"/>
  <c r="X111" i="2"/>
  <c r="Q111" i="2"/>
  <c r="H111" i="2"/>
  <c r="U111" i="2"/>
  <c r="R111" i="2"/>
  <c r="E111" i="2"/>
  <c r="L111" i="2"/>
  <c r="BF115" i="2"/>
  <c r="BF10" i="2"/>
  <c r="AY57" i="4"/>
  <c r="AM58" i="4"/>
  <c r="AX57" i="4"/>
  <c r="BM57" i="4"/>
  <c r="BK57" i="4"/>
  <c r="BN57" i="4"/>
  <c r="L57" i="4"/>
  <c r="BP57" i="4"/>
  <c r="AP57" i="4"/>
  <c r="AI15" i="4" l="1"/>
  <c r="AI13" i="4"/>
  <c r="H57" i="4"/>
  <c r="H89" i="4" s="1"/>
  <c r="AZ4" i="4"/>
  <c r="BC4" i="4"/>
  <c r="AL58" i="4"/>
  <c r="AO58" i="4"/>
  <c r="AP58" i="4" s="1"/>
  <c r="AY6" i="4"/>
  <c r="AZ6" i="4" s="1"/>
  <c r="BC6" i="4"/>
  <c r="AM59" i="4"/>
  <c r="BQ57" i="4"/>
  <c r="M89" i="4"/>
  <c r="AQ57" i="4"/>
  <c r="AV57" i="4"/>
  <c r="M57" i="4"/>
  <c r="BO57" i="4"/>
  <c r="AM60" i="4" l="1"/>
  <c r="AO60" i="4" s="1"/>
  <c r="AP60" i="4" s="1"/>
  <c r="AO59" i="4"/>
  <c r="AV58" i="4"/>
  <c r="AM61" i="4"/>
  <c r="AL59" i="4"/>
  <c r="AL60" i="4"/>
  <c r="AP59" i="4"/>
  <c r="H58" i="4"/>
  <c r="H90" i="4" s="1"/>
  <c r="AQ58" i="4"/>
  <c r="AV60" i="4" l="1"/>
  <c r="H60" i="4"/>
  <c r="H92" i="4" s="1"/>
  <c r="AL61" i="4"/>
  <c r="AO61" i="4"/>
  <c r="AY38" i="2"/>
  <c r="AX38" i="2"/>
  <c r="AY37" i="2"/>
  <c r="AY36" i="2"/>
  <c r="AQ59" i="4"/>
  <c r="AM62" i="4"/>
  <c r="H59" i="4"/>
  <c r="H91" i="4" s="1"/>
  <c r="AQ60" i="4"/>
  <c r="EO11" i="2"/>
  <c r="H61" i="4" l="1"/>
  <c r="H93" i="4" s="1"/>
  <c r="AY62" i="2"/>
  <c r="AX62" i="2"/>
  <c r="AX63" i="2"/>
  <c r="FE13" i="2"/>
  <c r="FE32" i="2" s="1"/>
  <c r="DU37" i="2"/>
  <c r="DU38" i="2"/>
  <c r="AY60" i="2"/>
  <c r="AY61" i="2"/>
  <c r="AL62" i="4"/>
  <c r="AO62" i="4"/>
  <c r="AP61" i="4"/>
  <c r="AM63" i="4"/>
  <c r="AO63" i="4" s="1"/>
  <c r="EO10" i="2"/>
  <c r="EO32" i="2" s="1"/>
  <c r="P156" i="1"/>
  <c r="P158" i="1"/>
  <c r="AP62" i="4" l="1"/>
  <c r="AP63" i="4"/>
  <c r="AX104" i="2"/>
  <c r="DU55" i="2"/>
  <c r="DU56" i="2"/>
  <c r="AX180" i="2"/>
  <c r="AX190" i="2"/>
  <c r="AX205" i="2"/>
  <c r="AX185" i="2"/>
  <c r="AX189" i="2"/>
  <c r="AX194" i="2"/>
  <c r="AX200" i="2"/>
  <c r="AX170" i="2"/>
  <c r="AX175" i="2"/>
  <c r="AY39" i="2"/>
  <c r="AY184" i="2"/>
  <c r="AY169" i="2"/>
  <c r="AY174" i="2"/>
  <c r="AY189" i="2"/>
  <c r="AY179" i="2"/>
  <c r="AQ61" i="4"/>
  <c r="AQ62" i="4"/>
  <c r="AL63" i="4"/>
  <c r="H63" i="4"/>
  <c r="H95" i="4" s="1"/>
  <c r="AM64" i="4"/>
  <c r="AM65" i="4" s="1"/>
  <c r="AQ63" i="4"/>
  <c r="H62" i="4"/>
  <c r="H94" i="4" s="1"/>
  <c r="P172" i="1"/>
  <c r="P173" i="1" s="1"/>
  <c r="AY63" i="2" l="1"/>
  <c r="AY64" i="2"/>
  <c r="AO65" i="4"/>
  <c r="H65" i="4" s="1"/>
  <c r="H97" i="4" s="1"/>
  <c r="AM66" i="4"/>
  <c r="AL66" i="4" s="1"/>
  <c r="AL65" i="4"/>
  <c r="AL64" i="4"/>
  <c r="AO64" i="4"/>
  <c r="AP65" i="4"/>
  <c r="AY88" i="2" l="1"/>
  <c r="AY92" i="2"/>
  <c r="AY91" i="2"/>
  <c r="AY95" i="2"/>
  <c r="AY96" i="2"/>
  <c r="AY97" i="2"/>
  <c r="AY89" i="2"/>
  <c r="AY103" i="2"/>
  <c r="AY100" i="2"/>
  <c r="AY102" i="2"/>
  <c r="AY99" i="2"/>
  <c r="AY101" i="2"/>
  <c r="AY90" i="2"/>
  <c r="AY98" i="2"/>
  <c r="AY93" i="2"/>
  <c r="AY94" i="2"/>
  <c r="H64" i="4"/>
  <c r="H96" i="4" s="1"/>
  <c r="AY190" i="2"/>
  <c r="AY185" i="2"/>
  <c r="AY180" i="2"/>
  <c r="AY175" i="2"/>
  <c r="AY194" i="2"/>
  <c r="AY205" i="2"/>
  <c r="AY200" i="2"/>
  <c r="AY170" i="2"/>
  <c r="AO66" i="4"/>
  <c r="AM67" i="4"/>
  <c r="AL67" i="4" s="1"/>
  <c r="AP64" i="4"/>
  <c r="EM11" i="2"/>
  <c r="EK11" i="2"/>
  <c r="EM10" i="2"/>
  <c r="EK10" i="2"/>
  <c r="EM32" i="2" l="1"/>
  <c r="AY107" i="2"/>
  <c r="H66" i="4"/>
  <c r="H98" i="4" s="1"/>
  <c r="AQ64" i="4"/>
  <c r="AY109" i="2"/>
  <c r="AY105" i="2"/>
  <c r="AY104" i="2"/>
  <c r="AO67" i="4"/>
  <c r="EK32" i="2"/>
  <c r="AM68" i="4"/>
  <c r="AO68" i="4" s="1"/>
  <c r="AP66" i="4"/>
  <c r="AQ65" i="4"/>
  <c r="H67" i="4" l="1"/>
  <c r="H99" i="4" s="1"/>
  <c r="AQ66" i="4"/>
  <c r="AY111" i="2"/>
  <c r="AP67" i="4"/>
  <c r="AL68" i="4"/>
  <c r="AM69" i="4"/>
  <c r="AO69" i="4" s="1"/>
  <c r="AP68" i="4"/>
  <c r="H68" i="4"/>
  <c r="H100" i="4" s="1"/>
  <c r="AL69" i="4"/>
  <c r="AM70" i="4"/>
  <c r="AQ67" i="4" l="1"/>
  <c r="AQ68" i="4"/>
  <c r="AP69" i="4"/>
  <c r="H69" i="4"/>
  <c r="H101" i="4" s="1"/>
  <c r="AO70" i="4"/>
  <c r="AL70" i="4"/>
  <c r="AM71" i="4"/>
  <c r="K178" i="1"/>
  <c r="L158" i="1"/>
  <c r="K158" i="1"/>
  <c r="K156" i="1"/>
  <c r="AQ69" i="4" l="1"/>
  <c r="AI9" i="4"/>
  <c r="D24" i="4" s="1"/>
  <c r="L177" i="1"/>
  <c r="L179" i="1"/>
  <c r="K181" i="1"/>
  <c r="J178" i="1"/>
  <c r="K177" i="1"/>
  <c r="L181" i="1"/>
  <c r="J179" i="1"/>
  <c r="N179" i="1"/>
  <c r="N178" i="1"/>
  <c r="P179" i="1"/>
  <c r="R179" i="1"/>
  <c r="P178" i="1"/>
  <c r="R178" i="1"/>
  <c r="AP70" i="4"/>
  <c r="H70" i="4"/>
  <c r="H102" i="4" s="1"/>
  <c r="AO71" i="4"/>
  <c r="AL71" i="4"/>
  <c r="AM72" i="4"/>
  <c r="L178" i="1"/>
  <c r="K183" i="1"/>
  <c r="L183" i="1"/>
  <c r="K179" i="1"/>
  <c r="K194" i="1"/>
  <c r="AQ70" i="4" l="1"/>
  <c r="D23" i="4"/>
  <c r="AO72" i="4"/>
  <c r="AL72" i="4"/>
  <c r="AM73" i="4"/>
  <c r="AP71" i="4"/>
  <c r="H71" i="4"/>
  <c r="H103" i="4" s="1"/>
  <c r="L172" i="1"/>
  <c r="K172" i="1"/>
  <c r="K173" i="1" s="1"/>
  <c r="AQ71" i="4" l="1"/>
  <c r="AL73" i="4"/>
  <c r="AM74" i="4"/>
  <c r="AO73" i="4"/>
  <c r="H72" i="4"/>
  <c r="H104" i="4" s="1"/>
  <c r="AP72" i="4"/>
  <c r="AQ72" i="4" l="1"/>
  <c r="AM75" i="4"/>
  <c r="AO74" i="4"/>
  <c r="AL74" i="4"/>
  <c r="H73" i="4"/>
  <c r="H105" i="4" s="1"/>
  <c r="AP73" i="4"/>
  <c r="AQ73" i="4" l="1"/>
  <c r="AP74" i="4"/>
  <c r="H74" i="4"/>
  <c r="H106" i="4" s="1"/>
  <c r="AO75" i="4"/>
  <c r="AL75" i="4"/>
  <c r="AM76" i="4"/>
  <c r="AQ74" i="4" l="1"/>
  <c r="AP75" i="4"/>
  <c r="H75" i="4"/>
  <c r="H107" i="4" s="1"/>
  <c r="AO76" i="4"/>
  <c r="AL76" i="4"/>
  <c r="AM77" i="4"/>
  <c r="EI10" i="2"/>
  <c r="EI11" i="2"/>
  <c r="AQ75" i="4" l="1"/>
  <c r="EI32" i="2"/>
  <c r="AL77" i="4"/>
  <c r="AO77" i="4"/>
  <c r="H76" i="4"/>
  <c r="H108" i="4" s="1"/>
  <c r="AP76" i="4"/>
  <c r="T156" i="1"/>
  <c r="S156" i="1"/>
  <c r="R156" i="1"/>
  <c r="Q156" i="1"/>
  <c r="M156" i="1"/>
  <c r="I156" i="1"/>
  <c r="M158" i="1"/>
  <c r="O158" i="1"/>
  <c r="Q158" i="1"/>
  <c r="R158" i="1"/>
  <c r="S158" i="1"/>
  <c r="T158" i="1"/>
  <c r="I172" i="1"/>
  <c r="V172" i="1"/>
  <c r="AQ76" i="4" l="1"/>
  <c r="BA52" i="2"/>
  <c r="BA55" i="2"/>
  <c r="BG55" i="2" s="1"/>
  <c r="BA36" i="2"/>
  <c r="BG36" i="2" s="1"/>
  <c r="BA35" i="2"/>
  <c r="BA37" i="2"/>
  <c r="BG37" i="2" s="1"/>
  <c r="BA39" i="2"/>
  <c r="BA38" i="2"/>
  <c r="BA41" i="2"/>
  <c r="BA40" i="2"/>
  <c r="BA43" i="2"/>
  <c r="BA42" i="2"/>
  <c r="BA46" i="2"/>
  <c r="BG46" i="2" s="1"/>
  <c r="BA44" i="2"/>
  <c r="BA47" i="2"/>
  <c r="BA45" i="2"/>
  <c r="BA48" i="2"/>
  <c r="BA49" i="2"/>
  <c r="BA50" i="2"/>
  <c r="BG50" i="2" s="1"/>
  <c r="BA51" i="2"/>
  <c r="BG51" i="2" s="1"/>
  <c r="BA53" i="2"/>
  <c r="BG53" i="2" s="1"/>
  <c r="BA54" i="2"/>
  <c r="T177" i="1"/>
  <c r="T187" i="1"/>
  <c r="T181" i="1"/>
  <c r="J187" i="1"/>
  <c r="N187" i="1"/>
  <c r="P187" i="1"/>
  <c r="R187" i="1"/>
  <c r="H77" i="4"/>
  <c r="H109" i="4" s="1"/>
  <c r="AP77" i="4"/>
  <c r="T183" i="1"/>
  <c r="L187" i="1"/>
  <c r="K187" i="1"/>
  <c r="T178" i="1"/>
  <c r="T179" i="1"/>
  <c r="L184" i="1"/>
  <c r="T184" i="1"/>
  <c r="K184" i="1"/>
  <c r="P186" i="1"/>
  <c r="Q172" i="1"/>
  <c r="Q173" i="1" s="1"/>
  <c r="L156" i="1"/>
  <c r="L173" i="1" s="1"/>
  <c r="L194" i="1"/>
  <c r="P176" i="1"/>
  <c r="T172" i="1"/>
  <c r="T173" i="1" s="1"/>
  <c r="W172" i="1"/>
  <c r="W173" i="1" s="1"/>
  <c r="O156" i="1"/>
  <c r="P182" i="1"/>
  <c r="P180" i="1"/>
  <c r="V173" i="1"/>
  <c r="I173" i="1"/>
  <c r="S172" i="1"/>
  <c r="S173" i="1" s="1"/>
  <c r="R172" i="1"/>
  <c r="R173" i="1" s="1"/>
  <c r="BG39" i="2" l="1"/>
  <c r="BG43" i="2"/>
  <c r="BA72" i="2"/>
  <c r="BG48" i="2"/>
  <c r="BA71" i="2"/>
  <c r="BG47" i="2"/>
  <c r="BA66" i="2"/>
  <c r="BG42" i="2"/>
  <c r="BA64" i="2"/>
  <c r="BG40" i="2"/>
  <c r="BA62" i="2"/>
  <c r="BG62" i="2" s="1"/>
  <c r="BG38" i="2"/>
  <c r="BA78" i="2"/>
  <c r="BG54" i="2"/>
  <c r="BA59" i="2"/>
  <c r="BG59" i="2" s="1"/>
  <c r="BG35" i="2"/>
  <c r="BA76" i="2"/>
  <c r="BG52" i="2"/>
  <c r="BA73" i="2"/>
  <c r="BG49" i="2"/>
  <c r="BA69" i="2"/>
  <c r="BG45" i="2"/>
  <c r="BA68" i="2"/>
  <c r="BG44" i="2"/>
  <c r="BA65" i="2"/>
  <c r="BG41" i="2"/>
  <c r="BA67" i="2"/>
  <c r="BA77" i="2"/>
  <c r="BA63" i="2"/>
  <c r="BG63" i="2" s="1"/>
  <c r="BA61" i="2"/>
  <c r="BG61" i="2" s="1"/>
  <c r="BA70" i="2"/>
  <c r="BA60" i="2"/>
  <c r="BA79" i="2"/>
  <c r="BA75" i="2"/>
  <c r="AQ77" i="4"/>
  <c r="BA74" i="2"/>
  <c r="S183" i="1"/>
  <c r="I186" i="1"/>
  <c r="S178" i="1"/>
  <c r="I185" i="1"/>
  <c r="L176" i="1"/>
  <c r="M176" i="1"/>
  <c r="O176" i="1"/>
  <c r="S176" i="1"/>
  <c r="I183" i="1"/>
  <c r="I184" i="1"/>
  <c r="K176" i="1"/>
  <c r="I179" i="1"/>
  <c r="I178" i="1"/>
  <c r="I180" i="1"/>
  <c r="M178" i="1"/>
  <c r="I182" i="1"/>
  <c r="O178" i="1"/>
  <c r="I187" i="1"/>
  <c r="T176" i="1"/>
  <c r="O183" i="1"/>
  <c r="M183" i="1"/>
  <c r="O184" i="1"/>
  <c r="S184" i="1"/>
  <c r="L180" i="1"/>
  <c r="S180" i="1"/>
  <c r="K180" i="1"/>
  <c r="T180" i="1"/>
  <c r="O180" i="1"/>
  <c r="M179" i="1"/>
  <c r="T182" i="1"/>
  <c r="S182" i="1"/>
  <c r="K182" i="1"/>
  <c r="L182" i="1"/>
  <c r="M182" i="1"/>
  <c r="O179" i="1"/>
  <c r="M184" i="1"/>
  <c r="O187" i="1"/>
  <c r="M187" i="1"/>
  <c r="K185" i="1"/>
  <c r="L185" i="1"/>
  <c r="S185" i="1"/>
  <c r="M185" i="1"/>
  <c r="O185" i="1"/>
  <c r="T185" i="1"/>
  <c r="K186" i="1"/>
  <c r="L186" i="1"/>
  <c r="O186" i="1"/>
  <c r="M186" i="1"/>
  <c r="T186" i="1"/>
  <c r="S179" i="1"/>
  <c r="S187" i="1"/>
  <c r="O172" i="1"/>
  <c r="O173" i="1" s="1"/>
  <c r="M172" i="1"/>
  <c r="M173" i="1" s="1"/>
  <c r="BA185" i="2" l="1"/>
  <c r="BG185" i="2" s="1"/>
  <c r="BA99" i="2"/>
  <c r="BG99" i="2" s="1"/>
  <c r="BG75" i="2"/>
  <c r="BA103" i="2"/>
  <c r="BG103" i="2" s="1"/>
  <c r="BG79" i="2"/>
  <c r="BA199" i="2"/>
  <c r="BG199" i="2" s="1"/>
  <c r="BA97" i="2"/>
  <c r="BG97" i="2" s="1"/>
  <c r="BG73" i="2"/>
  <c r="BA100" i="2"/>
  <c r="BG100" i="2" s="1"/>
  <c r="BG76" i="2"/>
  <c r="BA88" i="2"/>
  <c r="BG88" i="2" s="1"/>
  <c r="BG64" i="2"/>
  <c r="BA95" i="2"/>
  <c r="BG95" i="2" s="1"/>
  <c r="BG71" i="2"/>
  <c r="BA102" i="2"/>
  <c r="BG102" i="2" s="1"/>
  <c r="BG78" i="2"/>
  <c r="BA101" i="2"/>
  <c r="BG101" i="2" s="1"/>
  <c r="BG105" i="2" s="1"/>
  <c r="BG77" i="2"/>
  <c r="BA93" i="2"/>
  <c r="BG93" i="2" s="1"/>
  <c r="BG69" i="2"/>
  <c r="BA196" i="2"/>
  <c r="BG196" i="2" s="1"/>
  <c r="BA98" i="2"/>
  <c r="BG98" i="2" s="1"/>
  <c r="BG74" i="2"/>
  <c r="BA200" i="2"/>
  <c r="BG200" i="2" s="1"/>
  <c r="BG60" i="2"/>
  <c r="BA94" i="2"/>
  <c r="BG94" i="2" s="1"/>
  <c r="BG70" i="2"/>
  <c r="BA91" i="2"/>
  <c r="BG91" i="2" s="1"/>
  <c r="BG67" i="2"/>
  <c r="BA90" i="2"/>
  <c r="BG90" i="2" s="1"/>
  <c r="BG66" i="2"/>
  <c r="BA89" i="2"/>
  <c r="BG89" i="2" s="1"/>
  <c r="BG65" i="2"/>
  <c r="BA92" i="2"/>
  <c r="BG92" i="2" s="1"/>
  <c r="BG68" i="2"/>
  <c r="BA96" i="2"/>
  <c r="BG96" i="2" s="1"/>
  <c r="BG72" i="2"/>
  <c r="BA180" i="2"/>
  <c r="BG180" i="2" s="1"/>
  <c r="BA194" i="2"/>
  <c r="BG194" i="2" s="1"/>
  <c r="BA189" i="2"/>
  <c r="BG189" i="2" s="1"/>
  <c r="BA181" i="2"/>
  <c r="BG181" i="2" s="1"/>
  <c r="BA169" i="2"/>
  <c r="BG169" i="2" s="1"/>
  <c r="BB53" i="2"/>
  <c r="BB55" i="2"/>
  <c r="BB35" i="2"/>
  <c r="BB36" i="2"/>
  <c r="BB37" i="2"/>
  <c r="BB38" i="2"/>
  <c r="BB39" i="2"/>
  <c r="BB40" i="2"/>
  <c r="BB41" i="2"/>
  <c r="BB43" i="2"/>
  <c r="BB42" i="2"/>
  <c r="BB44" i="2"/>
  <c r="BB46" i="2"/>
  <c r="BB45" i="2"/>
  <c r="BB47" i="2"/>
  <c r="BH47" i="2" s="1"/>
  <c r="BB48" i="2"/>
  <c r="BH48" i="2" s="1"/>
  <c r="BB49" i="2"/>
  <c r="BB50" i="2"/>
  <c r="BB51" i="2"/>
  <c r="BH51" i="2" s="1"/>
  <c r="BB52" i="2"/>
  <c r="BA191" i="2"/>
  <c r="BG191" i="2" s="1"/>
  <c r="BA184" i="2"/>
  <c r="BG184" i="2" s="1"/>
  <c r="BA179" i="2"/>
  <c r="BG179" i="2" s="1"/>
  <c r="BA195" i="2"/>
  <c r="BG195" i="2" s="1"/>
  <c r="BA205" i="2"/>
  <c r="BG205" i="2" s="1"/>
  <c r="BA202" i="2"/>
  <c r="BG202" i="2" s="1"/>
  <c r="BA170" i="2"/>
  <c r="BG170" i="2" s="1"/>
  <c r="BA175" i="2"/>
  <c r="BG175" i="2" s="1"/>
  <c r="BA186" i="2"/>
  <c r="BG186" i="2" s="1"/>
  <c r="BA176" i="2"/>
  <c r="BG176" i="2" s="1"/>
  <c r="BB54" i="2"/>
  <c r="BH54" i="2" s="1"/>
  <c r="BA190" i="2"/>
  <c r="BG190" i="2" s="1"/>
  <c r="BA174" i="2"/>
  <c r="BG174" i="2" s="1"/>
  <c r="BA201" i="2"/>
  <c r="BG201" i="2" s="1"/>
  <c r="BA171" i="2"/>
  <c r="BG171" i="2" s="1"/>
  <c r="BA206" i="2"/>
  <c r="BG206" i="2" s="1"/>
  <c r="EG10" i="2"/>
  <c r="BH44" i="2" l="1"/>
  <c r="BH43" i="2"/>
  <c r="BB70" i="2"/>
  <c r="BH46" i="2"/>
  <c r="BB66" i="2"/>
  <c r="BH42" i="2"/>
  <c r="BG104" i="2"/>
  <c r="BB64" i="2"/>
  <c r="BH40" i="2"/>
  <c r="BB79" i="2"/>
  <c r="BH55" i="2"/>
  <c r="BB74" i="2"/>
  <c r="BH50" i="2"/>
  <c r="BB73" i="2"/>
  <c r="BH49" i="2"/>
  <c r="BB69" i="2"/>
  <c r="BH45" i="2"/>
  <c r="BB65" i="2"/>
  <c r="BH41" i="2"/>
  <c r="BB63" i="2"/>
  <c r="BH63" i="2" s="1"/>
  <c r="BH39" i="2"/>
  <c r="BB60" i="2"/>
  <c r="BH60" i="2" s="1"/>
  <c r="BH36" i="2"/>
  <c r="BB76" i="2"/>
  <c r="BH52" i="2"/>
  <c r="BB77" i="2"/>
  <c r="BH53" i="2"/>
  <c r="BB62" i="2"/>
  <c r="BH62" i="2" s="1"/>
  <c r="BH38" i="2"/>
  <c r="BB61" i="2"/>
  <c r="BH61" i="2" s="1"/>
  <c r="BH37" i="2"/>
  <c r="BB59" i="2"/>
  <c r="BH59" i="2" s="1"/>
  <c r="BH35" i="2"/>
  <c r="BG109" i="2"/>
  <c r="BG107" i="2"/>
  <c r="BB68" i="2"/>
  <c r="BA109" i="2"/>
  <c r="BA105" i="2"/>
  <c r="BA107" i="2"/>
  <c r="BA104" i="2"/>
  <c r="BB75" i="2"/>
  <c r="BB78" i="2"/>
  <c r="BB72" i="2"/>
  <c r="BB67" i="2"/>
  <c r="BB71" i="2"/>
  <c r="EG11" i="2"/>
  <c r="EG32" i="2" s="1"/>
  <c r="BA111" i="2" l="1"/>
  <c r="BG111" i="2"/>
  <c r="BB169" i="2"/>
  <c r="BH169" i="2" s="1"/>
  <c r="BB195" i="2"/>
  <c r="BH195" i="2" s="1"/>
  <c r="BB189" i="2"/>
  <c r="BH189" i="2" s="1"/>
  <c r="BB93" i="2"/>
  <c r="BH93" i="2" s="1"/>
  <c r="BH69" i="2"/>
  <c r="BB181" i="2"/>
  <c r="BH181" i="2" s="1"/>
  <c r="BB102" i="2"/>
  <c r="BH102" i="2" s="1"/>
  <c r="BH78" i="2"/>
  <c r="BB184" i="2"/>
  <c r="BH184" i="2" s="1"/>
  <c r="BB103" i="2"/>
  <c r="BH103" i="2" s="1"/>
  <c r="BH79" i="2"/>
  <c r="BB97" i="2"/>
  <c r="BH97" i="2" s="1"/>
  <c r="BH73" i="2"/>
  <c r="BB96" i="2"/>
  <c r="BH96" i="2" s="1"/>
  <c r="BH72" i="2"/>
  <c r="BB98" i="2"/>
  <c r="BH98" i="2" s="1"/>
  <c r="BH74" i="2"/>
  <c r="BB200" i="2"/>
  <c r="BH200" i="2" s="1"/>
  <c r="BB99" i="2"/>
  <c r="BH99" i="2" s="1"/>
  <c r="BH75" i="2"/>
  <c r="BB100" i="2"/>
  <c r="BH100" i="2" s="1"/>
  <c r="BH76" i="2"/>
  <c r="BB90" i="2"/>
  <c r="BH90" i="2" s="1"/>
  <c r="BH66" i="2"/>
  <c r="BB185" i="2"/>
  <c r="BH185" i="2" s="1"/>
  <c r="BB95" i="2"/>
  <c r="BH95" i="2" s="1"/>
  <c r="BH71" i="2"/>
  <c r="BB88" i="2"/>
  <c r="BH88" i="2" s="1"/>
  <c r="BH64" i="2"/>
  <c r="BB174" i="2"/>
  <c r="BH174" i="2" s="1"/>
  <c r="BB89" i="2"/>
  <c r="BH89" i="2" s="1"/>
  <c r="BH65" i="2"/>
  <c r="BB92" i="2"/>
  <c r="BH92" i="2" s="1"/>
  <c r="BH68" i="2"/>
  <c r="BB91" i="2"/>
  <c r="BH91" i="2" s="1"/>
  <c r="BH67" i="2"/>
  <c r="BB179" i="2"/>
  <c r="BH179" i="2" s="1"/>
  <c r="BB101" i="2"/>
  <c r="BH101" i="2" s="1"/>
  <c r="BH77" i="2"/>
  <c r="BB194" i="2"/>
  <c r="BH194" i="2" s="1"/>
  <c r="BB205" i="2"/>
  <c r="BH205" i="2" s="1"/>
  <c r="BB199" i="2"/>
  <c r="BH199" i="2" s="1"/>
  <c r="BB94" i="2"/>
  <c r="BH94" i="2" s="1"/>
  <c r="BH70" i="2"/>
  <c r="BB186" i="2"/>
  <c r="BH186" i="2" s="1"/>
  <c r="BB202" i="2"/>
  <c r="BH202" i="2" s="1"/>
  <c r="BB180" i="2"/>
  <c r="BH180" i="2" s="1"/>
  <c r="BB191" i="2"/>
  <c r="BH191" i="2" s="1"/>
  <c r="BB206" i="2"/>
  <c r="BH206" i="2" s="1"/>
  <c r="BB201" i="2"/>
  <c r="BH201" i="2" s="1"/>
  <c r="BB196" i="2"/>
  <c r="BH196" i="2" s="1"/>
  <c r="BB175" i="2"/>
  <c r="BH175" i="2" s="1"/>
  <c r="BB170" i="2"/>
  <c r="BH170" i="2" s="1"/>
  <c r="BB171" i="2"/>
  <c r="BH171" i="2" s="1"/>
  <c r="BB190" i="2"/>
  <c r="BH190" i="2" s="1"/>
  <c r="BB176" i="2"/>
  <c r="BH176" i="2" s="1"/>
  <c r="EE10" i="2"/>
  <c r="BH105" i="2" l="1"/>
  <c r="BH107" i="2"/>
  <c r="BB109" i="2"/>
  <c r="BH104" i="2"/>
  <c r="BH109" i="2"/>
  <c r="BB105" i="2"/>
  <c r="BB104" i="2"/>
  <c r="BB107" i="2"/>
  <c r="EE11" i="2"/>
  <c r="EE32" i="2" s="1"/>
  <c r="BB111" i="2" l="1"/>
  <c r="BH111" i="2"/>
  <c r="DY10" i="2"/>
  <c r="EA11" i="2" l="1"/>
  <c r="EA10" i="2" l="1"/>
  <c r="EA32" i="2" s="1"/>
  <c r="DY11" i="2" l="1"/>
  <c r="DY32" i="2" s="1"/>
  <c r="I189" i="1" l="1"/>
  <c r="S191" i="1" l="1"/>
  <c r="S192" i="1" s="1"/>
  <c r="S195" i="1"/>
  <c r="S196" i="1" s="1"/>
  <c r="S197" i="1" s="1"/>
  <c r="R191" i="1"/>
  <c r="R192" i="1" s="1"/>
  <c r="P195" i="1"/>
  <c r="P196" i="1" s="1"/>
  <c r="P197" i="1" s="1"/>
  <c r="P191" i="1"/>
  <c r="P192" i="1" s="1"/>
  <c r="R195" i="1"/>
  <c r="R196" i="1" s="1"/>
  <c r="R197" i="1" s="1"/>
  <c r="O191" i="1"/>
  <c r="O192" i="1" s="1"/>
  <c r="O195" i="1"/>
  <c r="O196" i="1" s="1"/>
  <c r="O197" i="1" s="1"/>
  <c r="J191" i="1"/>
  <c r="J192" i="1" s="1"/>
  <c r="J195" i="1"/>
  <c r="J196" i="1" s="1"/>
  <c r="J197" i="1" s="1"/>
  <c r="N195" i="1"/>
  <c r="N196" i="1" s="1"/>
  <c r="N197" i="1" s="1"/>
  <c r="N191" i="1"/>
  <c r="N192" i="1" s="1"/>
  <c r="M191" i="1"/>
  <c r="M192" i="1" s="1"/>
  <c r="M195" i="1"/>
  <c r="M196" i="1" s="1"/>
  <c r="M197" i="1" s="1"/>
  <c r="L191" i="1"/>
  <c r="L192" i="1" s="1"/>
  <c r="K191" i="1"/>
  <c r="K192" i="1" s="1"/>
  <c r="K195" i="1"/>
  <c r="K196" i="1" s="1"/>
  <c r="K197" i="1" s="1"/>
  <c r="L195" i="1"/>
  <c r="L196" i="1" s="1"/>
  <c r="L197" i="1" s="1"/>
  <c r="T191" i="1"/>
  <c r="T192" i="1" s="1"/>
  <c r="I191" i="1"/>
  <c r="I192" i="1" s="1"/>
  <c r="EC10" i="2" l="1"/>
  <c r="EC11" i="2"/>
  <c r="EC32" i="2" l="1"/>
  <c r="I194" i="1" l="1"/>
  <c r="I195" i="1" s="1"/>
  <c r="I196" i="1" s="1"/>
  <c r="I197" i="1" s="1"/>
  <c r="T194" i="1"/>
  <c r="T195" i="1" s="1"/>
  <c r="T196" i="1" s="1"/>
  <c r="T197" i="1" s="1"/>
  <c r="AV6" i="4" l="1"/>
  <c r="AW6" i="4" s="1"/>
  <c r="AY58" i="4"/>
  <c r="AX58" i="4"/>
  <c r="AW58" i="4"/>
  <c r="BD116" i="2"/>
  <c r="K90" i="4" l="1"/>
  <c r="BE116" i="2"/>
  <c r="J58" i="4"/>
  <c r="J90" i="4"/>
  <c r="K58" i="4"/>
  <c r="BF11" i="2"/>
  <c r="BF116" i="2" l="1"/>
  <c r="M90" i="4"/>
  <c r="L90" i="4" l="1"/>
  <c r="M58" i="4" l="1"/>
  <c r="L58" i="4" l="1"/>
  <c r="BV12" i="2" l="1"/>
  <c r="L91" i="4"/>
  <c r="AU59" i="4"/>
  <c r="I59" i="4"/>
  <c r="AV59" i="4"/>
  <c r="AW59" i="4"/>
  <c r="AV8" i="4"/>
  <c r="BF12" i="2"/>
  <c r="I91" i="4"/>
  <c r="CB12" i="2"/>
  <c r="BU12" i="2"/>
  <c r="BR12" i="2"/>
  <c r="BD117" i="2"/>
  <c r="AY60" i="4" l="1"/>
  <c r="M59" i="4"/>
  <c r="BW12" i="2"/>
  <c r="BX12" i="2"/>
  <c r="BF13" i="2"/>
  <c r="CA12" i="2"/>
  <c r="CC12" i="2" s="1"/>
  <c r="AU8" i="4"/>
  <c r="AW8" i="4" s="1"/>
  <c r="AY59" i="4"/>
  <c r="AX59" i="4"/>
  <c r="BE117" i="2"/>
  <c r="BS12" i="2"/>
  <c r="L59" i="4"/>
  <c r="M91" i="4" l="1"/>
  <c r="BY12" i="2"/>
  <c r="BZ12" i="2" s="1"/>
  <c r="BF117" i="2"/>
  <c r="BT12" i="2"/>
  <c r="J59" i="4" l="1"/>
  <c r="K91" i="4"/>
  <c r="J91" i="4"/>
  <c r="K59" i="4" l="1"/>
  <c r="Q28" i="4" l="1"/>
  <c r="Q29" i="4"/>
  <c r="Q30" i="4"/>
  <c r="Q31" i="4"/>
  <c r="R29" i="4"/>
  <c r="R28" i="4"/>
  <c r="R31" i="4"/>
  <c r="R30" i="4"/>
  <c r="M77" i="4" l="1"/>
  <c r="BB62" i="4" l="1"/>
  <c r="BH62" i="4"/>
  <c r="BH63" i="4"/>
  <c r="BC62" i="4"/>
  <c r="BD62" i="4"/>
  <c r="BC63" i="4"/>
  <c r="BD63" i="4"/>
  <c r="BG63" i="4"/>
  <c r="BG62" i="4"/>
  <c r="BC64" i="4"/>
  <c r="BD64" i="4"/>
  <c r="BB63" i="4"/>
  <c r="K93" i="4"/>
  <c r="BB17" i="4"/>
  <c r="BI61" i="4"/>
  <c r="BA17" i="4" s="1"/>
  <c r="K61" i="4"/>
  <c r="AY17" i="4"/>
  <c r="J93" i="4"/>
  <c r="BM62" i="4" l="1"/>
  <c r="AT61" i="4"/>
  <c r="I93" i="4"/>
  <c r="BC17" i="4"/>
  <c r="J61" i="4"/>
  <c r="AX17" i="4"/>
  <c r="AZ17" i="4" s="1"/>
  <c r="AV17" i="4" l="1"/>
  <c r="BE119" i="2"/>
  <c r="CB14" i="2"/>
  <c r="BS14" i="2"/>
  <c r="BV14" i="2"/>
  <c r="BY14" i="2" l="1"/>
  <c r="BK62" i="4"/>
  <c r="BO62" i="4"/>
  <c r="I61" i="4"/>
  <c r="AW61" i="4"/>
  <c r="AU61" i="4"/>
  <c r="AV61" i="4"/>
  <c r="AU17" i="4" l="1"/>
  <c r="AW17" i="4" s="1"/>
  <c r="AY61" i="4"/>
  <c r="AX61" i="4"/>
  <c r="BU14" i="2"/>
  <c r="BW14" i="2" s="1"/>
  <c r="BR14" i="2"/>
  <c r="CA14" i="2"/>
  <c r="CC14" i="2" s="1"/>
  <c r="BD119" i="2"/>
  <c r="BF14" i="2"/>
  <c r="BT14" i="2" l="1"/>
  <c r="BX14" i="2"/>
  <c r="BZ14" i="2" s="1"/>
  <c r="BF119" i="2"/>
  <c r="M65" i="4" l="1"/>
  <c r="L61" i="4"/>
  <c r="M62" i="4"/>
  <c r="M61" i="4"/>
  <c r="M94" i="4"/>
  <c r="M66" i="4"/>
  <c r="L93" i="4"/>
  <c r="M93" i="4"/>
  <c r="M64" i="4"/>
  <c r="M67" i="4"/>
  <c r="M68" i="4"/>
  <c r="L64" i="4" l="1"/>
  <c r="M70" i="4"/>
  <c r="M95" i="4"/>
  <c r="L62" i="4"/>
  <c r="M69" i="4"/>
  <c r="M63" i="4"/>
  <c r="L63" i="4"/>
  <c r="L94" i="4"/>
  <c r="M96" i="4" l="1"/>
  <c r="L95" i="4"/>
  <c r="M71" i="4"/>
  <c r="L65" i="4"/>
  <c r="M72" i="4" l="1"/>
  <c r="L96" i="4"/>
  <c r="L66" i="4"/>
  <c r="M97" i="4"/>
  <c r="M98" i="4" l="1"/>
  <c r="L67" i="4"/>
  <c r="L97" i="4"/>
  <c r="M73" i="4"/>
  <c r="M74" i="4" l="1"/>
  <c r="M99" i="4"/>
  <c r="L68" i="4"/>
  <c r="L98" i="4"/>
  <c r="M100" i="4" l="1"/>
  <c r="L99" i="4"/>
  <c r="M75" i="4"/>
  <c r="L69" i="4"/>
  <c r="M76" i="4" l="1"/>
  <c r="L100" i="4"/>
  <c r="L70" i="4"/>
  <c r="M101" i="4"/>
  <c r="L71" i="4" l="1"/>
  <c r="M102" i="4"/>
  <c r="L101" i="4"/>
  <c r="L102" i="4" l="1"/>
  <c r="M103" i="4"/>
  <c r="L72" i="4"/>
  <c r="M104" i="4" l="1"/>
  <c r="L73" i="4"/>
  <c r="L103" i="4"/>
  <c r="L104" i="4" l="1"/>
  <c r="BJ129" i="4"/>
  <c r="BJ130" i="4" s="1"/>
  <c r="L74" i="4"/>
  <c r="M105" i="4"/>
  <c r="M106" i="4" l="1"/>
  <c r="L75" i="4"/>
  <c r="L105" i="4"/>
  <c r="L106" i="4" l="1"/>
  <c r="L76" i="4"/>
  <c r="M107" i="4"/>
  <c r="M108" i="4" l="1"/>
  <c r="L77" i="4"/>
  <c r="L107" i="4"/>
  <c r="L108" i="4" l="1"/>
  <c r="M109" i="4"/>
  <c r="BN78" i="4"/>
  <c r="L109" i="4" l="1"/>
  <c r="BJ78" i="4"/>
  <c r="AX19" i="4"/>
  <c r="AX23" i="4"/>
  <c r="J62" i="4"/>
  <c r="AY19" i="4"/>
  <c r="J94" i="4"/>
  <c r="J64" i="4"/>
  <c r="AY13" i="4"/>
  <c r="BI64" i="4"/>
  <c r="BA19" i="4"/>
  <c r="K62" i="4"/>
  <c r="AX13" i="4"/>
  <c r="BI62" i="4"/>
  <c r="BA13" i="4"/>
  <c r="J96" i="4"/>
  <c r="J95" i="4"/>
  <c r="K94" i="4"/>
  <c r="AY23" i="4"/>
  <c r="BB13" i="4"/>
  <c r="K96" i="4"/>
  <c r="J63" i="4"/>
  <c r="BI63" i="4"/>
  <c r="BA23" i="4" s="1"/>
  <c r="K64" i="4"/>
  <c r="K95" i="4"/>
  <c r="BB23" i="4"/>
  <c r="K63" i="4"/>
  <c r="BM65" i="4"/>
  <c r="BE15" i="2"/>
  <c r="BC13" i="4" l="1"/>
  <c r="AZ19" i="4"/>
  <c r="R33" i="4"/>
  <c r="AT64" i="4"/>
  <c r="AV19" i="4" s="1"/>
  <c r="Q33" i="4"/>
  <c r="BC23" i="4"/>
  <c r="AT63" i="4"/>
  <c r="AV23" i="4" s="1"/>
  <c r="BM64" i="4"/>
  <c r="AT62" i="4"/>
  <c r="BM63" i="4"/>
  <c r="AZ23" i="4"/>
  <c r="AZ13" i="4"/>
  <c r="BS15" i="2"/>
  <c r="CB15" i="2"/>
  <c r="BV15" i="2"/>
  <c r="BE120" i="2"/>
  <c r="I94" i="4"/>
  <c r="R32" i="4"/>
  <c r="BQ62" i="4"/>
  <c r="BE17" i="2"/>
  <c r="BQ64" i="4"/>
  <c r="I96" i="4"/>
  <c r="BE16" i="2"/>
  <c r="BQ63" i="4"/>
  <c r="I95" i="4"/>
  <c r="Q32" i="4"/>
  <c r="AV13" i="4" l="1"/>
  <c r="BK63" i="4"/>
  <c r="BO63" i="4"/>
  <c r="I62" i="4"/>
  <c r="AV62" i="4"/>
  <c r="AU62" i="4"/>
  <c r="AW62" i="4"/>
  <c r="BD15" i="2"/>
  <c r="CB17" i="2"/>
  <c r="BE122" i="2"/>
  <c r="BV17" i="2"/>
  <c r="BS17" i="2"/>
  <c r="BY17" i="2" s="1"/>
  <c r="CB16" i="2"/>
  <c r="BV16" i="2"/>
  <c r="BE121" i="2"/>
  <c r="BS16" i="2"/>
  <c r="BY16" i="2" s="1"/>
  <c r="BY15" i="2"/>
  <c r="AY62" i="4" l="1"/>
  <c r="BF15" i="2"/>
  <c r="CA15" i="2"/>
  <c r="CC15" i="2" s="1"/>
  <c r="BU15" i="2"/>
  <c r="BD120" i="2"/>
  <c r="BR15" i="2"/>
  <c r="AU13" i="4"/>
  <c r="AW13" i="4" s="1"/>
  <c r="AX62" i="4"/>
  <c r="BO64" i="4" l="1"/>
  <c r="BK64" i="4"/>
  <c r="BW15" i="2"/>
  <c r="BX15" i="2"/>
  <c r="BZ15" i="2" s="1"/>
  <c r="BT15" i="2"/>
  <c r="AV63" i="4"/>
  <c r="BD16" i="2"/>
  <c r="AU63" i="4"/>
  <c r="AW63" i="4"/>
  <c r="I63" i="4"/>
  <c r="BF120" i="2"/>
  <c r="AY24" i="4" l="1"/>
  <c r="J101" i="4"/>
  <c r="AY22" i="4"/>
  <c r="J99" i="4"/>
  <c r="AY14" i="4"/>
  <c r="J98" i="4"/>
  <c r="BG68" i="4"/>
  <c r="BB15" i="4" s="1"/>
  <c r="K100" i="4"/>
  <c r="BB14" i="4"/>
  <c r="K98" i="4"/>
  <c r="AY9" i="4"/>
  <c r="J97" i="4"/>
  <c r="BB9" i="4"/>
  <c r="K97" i="4"/>
  <c r="AY63" i="4"/>
  <c r="AY15" i="4"/>
  <c r="J100" i="4"/>
  <c r="BG69" i="4"/>
  <c r="BB24" i="4" s="1"/>
  <c r="K101" i="4"/>
  <c r="BG67" i="4"/>
  <c r="BB22" i="4" s="1"/>
  <c r="K99" i="4"/>
  <c r="BU16" i="2"/>
  <c r="BF16" i="2"/>
  <c r="BR16" i="2"/>
  <c r="BD121" i="2"/>
  <c r="CA16" i="2"/>
  <c r="CC16" i="2" s="1"/>
  <c r="AU23" i="4"/>
  <c r="AW23" i="4" s="1"/>
  <c r="AX63" i="4"/>
  <c r="BM66" i="4" l="1"/>
  <c r="I97" i="4"/>
  <c r="BE18" i="2"/>
  <c r="BQ65" i="4"/>
  <c r="AT65" i="4"/>
  <c r="AV9" i="4" s="1"/>
  <c r="BE21" i="2"/>
  <c r="I100" i="4"/>
  <c r="AT68" i="4"/>
  <c r="AV15" i="4" s="1"/>
  <c r="BQ68" i="4"/>
  <c r="BM69" i="4"/>
  <c r="BM68" i="4"/>
  <c r="BE20" i="2"/>
  <c r="AT67" i="4"/>
  <c r="AV22" i="4" s="1"/>
  <c r="I99" i="4"/>
  <c r="BQ67" i="4"/>
  <c r="BM70" i="4"/>
  <c r="I101" i="4"/>
  <c r="AT69" i="4"/>
  <c r="AV24" i="4" s="1"/>
  <c r="BE22" i="2"/>
  <c r="BQ69" i="4"/>
  <c r="BQ66" i="4"/>
  <c r="BE19" i="2"/>
  <c r="BM67" i="4"/>
  <c r="AT66" i="4"/>
  <c r="AV14" i="4" s="1"/>
  <c r="I98" i="4"/>
  <c r="BO65" i="4"/>
  <c r="BK65" i="4"/>
  <c r="BT16" i="2"/>
  <c r="BX16" i="2"/>
  <c r="BZ16" i="2" s="1"/>
  <c r="BF121" i="2"/>
  <c r="BW16" i="2"/>
  <c r="BD17" i="2"/>
  <c r="I64" i="4"/>
  <c r="AW64" i="4"/>
  <c r="AV64" i="4"/>
  <c r="AU64" i="4"/>
  <c r="AY64" i="4" s="1"/>
  <c r="BE126" i="2" l="1"/>
  <c r="BS21" i="2"/>
  <c r="CB21" i="2"/>
  <c r="BV21" i="2"/>
  <c r="BE123" i="2"/>
  <c r="CB18" i="2"/>
  <c r="BV18" i="2"/>
  <c r="BS18" i="2"/>
  <c r="CB22" i="2"/>
  <c r="BS22" i="2"/>
  <c r="BE127" i="2"/>
  <c r="BV22" i="2"/>
  <c r="CB20" i="2"/>
  <c r="BE125" i="2"/>
  <c r="BS20" i="2"/>
  <c r="BV20" i="2"/>
  <c r="BS19" i="2"/>
  <c r="BV19" i="2"/>
  <c r="BE124" i="2"/>
  <c r="CB19" i="2"/>
  <c r="AU19" i="4"/>
  <c r="AW19" i="4" s="1"/>
  <c r="AX64" i="4"/>
  <c r="BR17" i="2"/>
  <c r="CA17" i="2"/>
  <c r="CC17" i="2" s="1"/>
  <c r="BF17" i="2"/>
  <c r="BD122" i="2"/>
  <c r="BU17" i="2"/>
  <c r="BY21" i="2" l="1"/>
  <c r="BY22" i="2"/>
  <c r="BY20" i="2"/>
  <c r="BY18" i="2"/>
  <c r="BY19" i="2"/>
  <c r="BO66" i="4"/>
  <c r="BK66" i="4"/>
  <c r="AW65" i="4"/>
  <c r="AV65" i="4"/>
  <c r="I65" i="4"/>
  <c r="BD18" i="2"/>
  <c r="AU65" i="4"/>
  <c r="BT17" i="2"/>
  <c r="BX17" i="2"/>
  <c r="BZ17" i="2" s="1"/>
  <c r="BW17" i="2"/>
  <c r="BF122" i="2"/>
  <c r="AU9" i="4" l="1"/>
  <c r="AW9" i="4" s="1"/>
  <c r="AX65" i="4"/>
  <c r="AY65" i="4"/>
  <c r="BU18" i="2"/>
  <c r="CA18" i="2"/>
  <c r="CC18" i="2" s="1"/>
  <c r="BF18" i="2"/>
  <c r="BR18" i="2"/>
  <c r="BD123" i="2"/>
  <c r="AY12" i="4" l="1"/>
  <c r="J102" i="4"/>
  <c r="K103" i="4"/>
  <c r="BG71" i="4"/>
  <c r="BB10" i="4" s="1"/>
  <c r="K102" i="4"/>
  <c r="BG70" i="4"/>
  <c r="BB12" i="4" s="1"/>
  <c r="J103" i="4"/>
  <c r="AY10" i="4"/>
  <c r="AY21" i="4"/>
  <c r="J104" i="4"/>
  <c r="BG72" i="4"/>
  <c r="BB21" i="4" s="1"/>
  <c r="K104" i="4"/>
  <c r="AX15" i="4"/>
  <c r="AZ15" i="4" s="1"/>
  <c r="J68" i="4"/>
  <c r="BH68" i="4"/>
  <c r="K68" i="4"/>
  <c r="BI68" i="4"/>
  <c r="BA15" i="4" s="1"/>
  <c r="BC15" i="4" s="1"/>
  <c r="BH67" i="4"/>
  <c r="BI67" i="4"/>
  <c r="BA22" i="4" s="1"/>
  <c r="BC22" i="4" s="1"/>
  <c r="K67" i="4"/>
  <c r="BI66" i="4"/>
  <c r="BA14" i="4" s="1"/>
  <c r="BC14" i="4" s="1"/>
  <c r="K66" i="4"/>
  <c r="AX24" i="4"/>
  <c r="AZ24" i="4" s="1"/>
  <c r="J69" i="4"/>
  <c r="AX9" i="4"/>
  <c r="AZ9" i="4" s="1"/>
  <c r="J65" i="4"/>
  <c r="K65" i="4"/>
  <c r="BI65" i="4"/>
  <c r="BA9" i="4" s="1"/>
  <c r="BC9" i="4" s="1"/>
  <c r="AX22" i="4"/>
  <c r="AZ22" i="4" s="1"/>
  <c r="J67" i="4"/>
  <c r="BH69" i="4"/>
  <c r="K69" i="4"/>
  <c r="BI69" i="4"/>
  <c r="BA24" i="4" s="1"/>
  <c r="BC24" i="4" s="1"/>
  <c r="AX14" i="4"/>
  <c r="AZ14" i="4" s="1"/>
  <c r="J66" i="4"/>
  <c r="BO67" i="4"/>
  <c r="BK67" i="4"/>
  <c r="BF123" i="2"/>
  <c r="BW18" i="2"/>
  <c r="BX18" i="2"/>
  <c r="BZ18" i="2" s="1"/>
  <c r="BT18" i="2"/>
  <c r="I66" i="4"/>
  <c r="AW66" i="4"/>
  <c r="AU66" i="4"/>
  <c r="BD19" i="2"/>
  <c r="AV66" i="4"/>
  <c r="BM73" i="4" l="1"/>
  <c r="I104" i="4"/>
  <c r="BE25" i="2"/>
  <c r="AT72" i="4"/>
  <c r="AV21" i="4" s="1"/>
  <c r="BQ72" i="4"/>
  <c r="BE23" i="2"/>
  <c r="I102" i="4"/>
  <c r="BQ70" i="4"/>
  <c r="BM71" i="4"/>
  <c r="AT70" i="4"/>
  <c r="AV12" i="4" s="1"/>
  <c r="AT71" i="4"/>
  <c r="AV10" i="4" s="1"/>
  <c r="BQ71" i="4"/>
  <c r="I103" i="4"/>
  <c r="BE24" i="2"/>
  <c r="BM72" i="4"/>
  <c r="Q34" i="4"/>
  <c r="R34" i="4"/>
  <c r="P29" i="4"/>
  <c r="P24" i="4"/>
  <c r="P32" i="4"/>
  <c r="P23" i="4"/>
  <c r="P17" i="4"/>
  <c r="P30" i="4"/>
  <c r="P27" i="4"/>
  <c r="P33" i="4"/>
  <c r="P31" i="4"/>
  <c r="P25" i="4"/>
  <c r="P28" i="4"/>
  <c r="P22" i="4"/>
  <c r="P19" i="4"/>
  <c r="P21" i="4"/>
  <c r="P18" i="4"/>
  <c r="P20" i="4"/>
  <c r="P16" i="4"/>
  <c r="P26" i="4"/>
  <c r="CA19" i="2"/>
  <c r="CC19" i="2" s="1"/>
  <c r="BF19" i="2"/>
  <c r="BR19" i="2"/>
  <c r="BD124" i="2"/>
  <c r="BU19" i="2"/>
  <c r="AX66" i="4"/>
  <c r="AU14" i="4"/>
  <c r="AW14" i="4" s="1"/>
  <c r="AY66" i="4"/>
  <c r="BV23" i="2" l="1"/>
  <c r="CB23" i="2"/>
  <c r="BE128" i="2"/>
  <c r="BS23" i="2"/>
  <c r="CB25" i="2"/>
  <c r="BV25" i="2"/>
  <c r="BS25" i="2"/>
  <c r="BE130" i="2"/>
  <c r="BS24" i="2"/>
  <c r="BE129" i="2"/>
  <c r="BV24" i="2"/>
  <c r="CB24" i="2"/>
  <c r="BO68" i="4"/>
  <c r="BK68" i="4"/>
  <c r="AU67" i="4"/>
  <c r="AV67" i="4"/>
  <c r="BD20" i="2"/>
  <c r="I67" i="4"/>
  <c r="AW67" i="4"/>
  <c r="BT19" i="2"/>
  <c r="BX19" i="2"/>
  <c r="BZ19" i="2" s="1"/>
  <c r="BW19" i="2"/>
  <c r="BF124" i="2"/>
  <c r="BY24" i="2" l="1"/>
  <c r="BY23" i="2"/>
  <c r="BY25" i="2"/>
  <c r="CA20" i="2"/>
  <c r="CC20" i="2" s="1"/>
  <c r="BR20" i="2"/>
  <c r="BF20" i="2"/>
  <c r="BD125" i="2"/>
  <c r="BU20" i="2"/>
  <c r="BW20" i="2" s="1"/>
  <c r="AX67" i="4"/>
  <c r="AU22" i="4"/>
  <c r="AW22" i="4" s="1"/>
  <c r="AY67" i="4"/>
  <c r="BO69" i="4" l="1"/>
  <c r="BK69" i="4"/>
  <c r="AU68" i="4"/>
  <c r="AW68" i="4"/>
  <c r="AV68" i="4"/>
  <c r="BD21" i="2"/>
  <c r="I68" i="4"/>
  <c r="BT20" i="2"/>
  <c r="BX20" i="2"/>
  <c r="BZ20" i="2" s="1"/>
  <c r="BF125" i="2"/>
  <c r="AY18" i="4" l="1"/>
  <c r="J107" i="4"/>
  <c r="BB16" i="4"/>
  <c r="K106" i="4"/>
  <c r="AY16" i="4"/>
  <c r="J106" i="4"/>
  <c r="BB18" i="4"/>
  <c r="K107" i="4"/>
  <c r="BB20" i="4"/>
  <c r="K105" i="4"/>
  <c r="AY20" i="4"/>
  <c r="J105" i="4"/>
  <c r="BF21" i="2"/>
  <c r="CA21" i="2"/>
  <c r="CC21" i="2" s="1"/>
  <c r="BD126" i="2"/>
  <c r="BU21" i="2"/>
  <c r="BW21" i="2" s="1"/>
  <c r="BR21" i="2"/>
  <c r="AX68" i="4"/>
  <c r="AU15" i="4"/>
  <c r="AW15" i="4" s="1"/>
  <c r="AY68" i="4"/>
  <c r="I107" i="4" l="1"/>
  <c r="BE28" i="2"/>
  <c r="AT75" i="4"/>
  <c r="AV18" i="4" s="1"/>
  <c r="BQ75" i="4"/>
  <c r="BM76" i="4"/>
  <c r="I106" i="4"/>
  <c r="BM75" i="4"/>
  <c r="AT74" i="4"/>
  <c r="AV16" i="4" s="1"/>
  <c r="BL129" i="4"/>
  <c r="BL130" i="4" s="1"/>
  <c r="BE27" i="2"/>
  <c r="BQ74" i="4"/>
  <c r="BM74" i="4"/>
  <c r="BE26" i="2"/>
  <c r="AT73" i="4"/>
  <c r="AV20" i="4" s="1"/>
  <c r="BQ73" i="4"/>
  <c r="I105" i="4"/>
  <c r="BO70" i="4"/>
  <c r="BK70" i="4"/>
  <c r="I69" i="4"/>
  <c r="AV69" i="4"/>
  <c r="AW69" i="4"/>
  <c r="BD22" i="2"/>
  <c r="AU69" i="4"/>
  <c r="BT21" i="2"/>
  <c r="BX21" i="2"/>
  <c r="BZ21" i="2" s="1"/>
  <c r="BF126" i="2"/>
  <c r="CB27" i="2" l="1"/>
  <c r="BE132" i="2"/>
  <c r="BS27" i="2"/>
  <c r="BV27" i="2"/>
  <c r="BE133" i="2"/>
  <c r="CB28" i="2"/>
  <c r="BV28" i="2"/>
  <c r="BS28" i="2"/>
  <c r="BS26" i="2"/>
  <c r="BE131" i="2"/>
  <c r="CB26" i="2"/>
  <c r="BV26" i="2"/>
  <c r="AU24" i="4"/>
  <c r="AW24" i="4" s="1"/>
  <c r="AX69" i="4"/>
  <c r="AY69" i="4"/>
  <c r="BR22" i="2"/>
  <c r="CA22" i="2"/>
  <c r="CC22" i="2" s="1"/>
  <c r="BU22" i="2"/>
  <c r="BW22" i="2" s="1"/>
  <c r="BF22" i="2"/>
  <c r="BD127" i="2"/>
  <c r="BY26" i="2" l="1"/>
  <c r="BY28" i="2"/>
  <c r="BY27" i="2"/>
  <c r="BO71" i="4"/>
  <c r="BK71" i="4"/>
  <c r="BF127" i="2"/>
  <c r="BX22" i="2"/>
  <c r="BZ22" i="2" s="1"/>
  <c r="BT22" i="2"/>
  <c r="I70" i="4"/>
  <c r="AW70" i="4"/>
  <c r="AV70" i="4"/>
  <c r="AU70" i="4"/>
  <c r="BD23" i="2"/>
  <c r="CA23" i="2" l="1"/>
  <c r="CC23" i="2" s="1"/>
  <c r="BR23" i="2"/>
  <c r="BD128" i="2"/>
  <c r="BF23" i="2"/>
  <c r="BU23" i="2"/>
  <c r="BW23" i="2" s="1"/>
  <c r="AU12" i="4"/>
  <c r="AW12" i="4" s="1"/>
  <c r="AX70" i="4"/>
  <c r="AY70" i="4"/>
  <c r="BB5" i="4" l="1"/>
  <c r="K109" i="4"/>
  <c r="AY5" i="4"/>
  <c r="J109" i="4"/>
  <c r="J108" i="4"/>
  <c r="AY7" i="4"/>
  <c r="BB7" i="4"/>
  <c r="K108" i="4"/>
  <c r="J72" i="4"/>
  <c r="AX21" i="4"/>
  <c r="AZ21" i="4" s="1"/>
  <c r="AX10" i="4"/>
  <c r="AZ10" i="4" s="1"/>
  <c r="J71" i="4"/>
  <c r="BI70" i="4"/>
  <c r="BA12" i="4" s="1"/>
  <c r="BC12" i="4" s="1"/>
  <c r="K70" i="4"/>
  <c r="BH70" i="4"/>
  <c r="AX12" i="4"/>
  <c r="AZ12" i="4" s="1"/>
  <c r="J70" i="4"/>
  <c r="BH71" i="4"/>
  <c r="BI71" i="4"/>
  <c r="BA10" i="4" s="1"/>
  <c r="BC10" i="4" s="1"/>
  <c r="K71" i="4"/>
  <c r="BI72" i="4"/>
  <c r="BA21" i="4" s="1"/>
  <c r="BC21" i="4" s="1"/>
  <c r="K72" i="4"/>
  <c r="BH72" i="4"/>
  <c r="BO72" i="4"/>
  <c r="BK72" i="4"/>
  <c r="AU71" i="4"/>
  <c r="I71" i="4"/>
  <c r="BD24" i="2"/>
  <c r="AW71" i="4"/>
  <c r="AV71" i="4"/>
  <c r="BF128" i="2"/>
  <c r="BX23" i="2"/>
  <c r="BZ23" i="2" s="1"/>
  <c r="BT23" i="2"/>
  <c r="BE30" i="2" l="1"/>
  <c r="AT77" i="4"/>
  <c r="AV5" i="4" s="1"/>
  <c r="BQ77" i="4"/>
  <c r="I109" i="4"/>
  <c r="I108" i="4"/>
  <c r="BQ76" i="4"/>
  <c r="AT76" i="4"/>
  <c r="AV7" i="4" s="1"/>
  <c r="BE29" i="2"/>
  <c r="BM77" i="4"/>
  <c r="R35" i="4"/>
  <c r="Q35" i="4"/>
  <c r="BU24" i="2"/>
  <c r="BW24" i="2" s="1"/>
  <c r="CA24" i="2"/>
  <c r="CC24" i="2" s="1"/>
  <c r="BD129" i="2"/>
  <c r="BR24" i="2"/>
  <c r="BF24" i="2"/>
  <c r="AX71" i="4"/>
  <c r="AU10" i="4"/>
  <c r="AW10" i="4" s="1"/>
  <c r="AY71" i="4"/>
  <c r="AD5" i="2" l="1"/>
  <c r="AS5" i="2"/>
  <c r="AJ5" i="2"/>
  <c r="F5" i="2"/>
  <c r="U5" i="2"/>
  <c r="L5" i="2"/>
  <c r="AA5" i="2"/>
  <c r="AY5" i="2"/>
  <c r="I5" i="2"/>
  <c r="AG5" i="2"/>
  <c r="C5" i="2"/>
  <c r="X5" i="2"/>
  <c r="BB5" i="2"/>
  <c r="R5" i="2"/>
  <c r="O5" i="2"/>
  <c r="AV5" i="2"/>
  <c r="AP5" i="2"/>
  <c r="BE54" i="2"/>
  <c r="BE134" i="2"/>
  <c r="BS29" i="2"/>
  <c r="BV29" i="2"/>
  <c r="CB29" i="2"/>
  <c r="CB30" i="2"/>
  <c r="BE53" i="2"/>
  <c r="BE44" i="2"/>
  <c r="BV30" i="2"/>
  <c r="BE40" i="2"/>
  <c r="BE49" i="2"/>
  <c r="BE46" i="2"/>
  <c r="BE70" i="2" s="1"/>
  <c r="BE38" i="2"/>
  <c r="BE42" i="2"/>
  <c r="BE37" i="2"/>
  <c r="BE61" i="2" s="1"/>
  <c r="BE35" i="2"/>
  <c r="BE59" i="2" s="1"/>
  <c r="BS30" i="2"/>
  <c r="BY30" i="2" s="1"/>
  <c r="BE43" i="2"/>
  <c r="BE67" i="2" s="1"/>
  <c r="BE48" i="2"/>
  <c r="BE72" i="2" s="1"/>
  <c r="BE41" i="2"/>
  <c r="BE65" i="2" s="1"/>
  <c r="BE39" i="2"/>
  <c r="BE135" i="2"/>
  <c r="BE55" i="2"/>
  <c r="BE79" i="2" s="1"/>
  <c r="BE36" i="2"/>
  <c r="BE51" i="2"/>
  <c r="BE45" i="2"/>
  <c r="BE52" i="2"/>
  <c r="BE76" i="2" s="1"/>
  <c r="BE47" i="2"/>
  <c r="BE50" i="2"/>
  <c r="BO73" i="4"/>
  <c r="BK73" i="4"/>
  <c r="AW72" i="4"/>
  <c r="BD25" i="2"/>
  <c r="I72" i="4"/>
  <c r="AU72" i="4"/>
  <c r="AV72" i="4"/>
  <c r="BX24" i="2"/>
  <c r="BZ24" i="2" s="1"/>
  <c r="BT24" i="2"/>
  <c r="BF129" i="2"/>
  <c r="O128" i="2" l="1"/>
  <c r="O151" i="2" s="1"/>
  <c r="O130" i="2"/>
  <c r="O153" i="2" s="1"/>
  <c r="O116" i="2"/>
  <c r="O139" i="2" s="1"/>
  <c r="O125" i="2"/>
  <c r="O148" i="2" s="1"/>
  <c r="O129" i="2"/>
  <c r="O152" i="2" s="1"/>
  <c r="O133" i="2"/>
  <c r="O156" i="2" s="1"/>
  <c r="O119" i="2"/>
  <c r="O142" i="2" s="1"/>
  <c r="O115" i="2"/>
  <c r="O138" i="2" s="1"/>
  <c r="O120" i="2"/>
  <c r="O143" i="2" s="1"/>
  <c r="O132" i="2"/>
  <c r="O155" i="2" s="1"/>
  <c r="O121" i="2"/>
  <c r="O144" i="2" s="1"/>
  <c r="O134" i="2"/>
  <c r="O157" i="2" s="1"/>
  <c r="O124" i="2"/>
  <c r="O147" i="2" s="1"/>
  <c r="O135" i="2"/>
  <c r="O117" i="2"/>
  <c r="O140" i="2" s="1"/>
  <c r="O123" i="2"/>
  <c r="O146" i="2" s="1"/>
  <c r="O118" i="2"/>
  <c r="O141" i="2" s="1"/>
  <c r="O126" i="2"/>
  <c r="O149" i="2" s="1"/>
  <c r="O131" i="2"/>
  <c r="O154" i="2" s="1"/>
  <c r="O127" i="2"/>
  <c r="O150" i="2" s="1"/>
  <c r="O122" i="2"/>
  <c r="O145" i="2" s="1"/>
  <c r="AP125" i="2"/>
  <c r="AP148" i="2" s="1"/>
  <c r="AP124" i="2"/>
  <c r="AP147" i="2" s="1"/>
  <c r="AP134" i="2"/>
  <c r="AP122" i="2"/>
  <c r="AP145" i="2" s="1"/>
  <c r="AP118" i="2"/>
  <c r="AP141" i="2" s="1"/>
  <c r="AP127" i="2"/>
  <c r="AP150" i="2" s="1"/>
  <c r="AP129" i="2"/>
  <c r="AP152" i="2" s="1"/>
  <c r="AP119" i="2"/>
  <c r="AP142" i="2" s="1"/>
  <c r="AP120" i="2"/>
  <c r="AP143" i="2" s="1"/>
  <c r="AP115" i="2"/>
  <c r="AP138" i="2" s="1"/>
  <c r="AP116" i="2"/>
  <c r="AP139" i="2" s="1"/>
  <c r="AP133" i="2"/>
  <c r="AP156" i="2" s="1"/>
  <c r="AP128" i="2"/>
  <c r="AP151" i="2" s="1"/>
  <c r="AP117" i="2"/>
  <c r="AP140" i="2" s="1"/>
  <c r="AP121" i="2"/>
  <c r="AP144" i="2" s="1"/>
  <c r="AP123" i="2"/>
  <c r="AP146" i="2" s="1"/>
  <c r="AP130" i="2"/>
  <c r="AP153" i="2" s="1"/>
  <c r="AP135" i="2"/>
  <c r="AP158" i="2" s="1"/>
  <c r="AP131" i="2"/>
  <c r="AP154" i="2" s="1"/>
  <c r="AP126" i="2"/>
  <c r="AP149" i="2" s="1"/>
  <c r="AP132" i="2"/>
  <c r="AP155" i="2" s="1"/>
  <c r="AV129" i="2"/>
  <c r="AV152" i="2" s="1"/>
  <c r="AV115" i="2"/>
  <c r="AV138" i="2" s="1"/>
  <c r="AV121" i="2"/>
  <c r="AV144" i="2" s="1"/>
  <c r="AV124" i="2"/>
  <c r="AV147" i="2" s="1"/>
  <c r="AV132" i="2"/>
  <c r="AV155" i="2" s="1"/>
  <c r="AV118" i="2"/>
  <c r="AV141" i="2" s="1"/>
  <c r="AV135" i="2"/>
  <c r="AV127" i="2"/>
  <c r="AV150" i="2" s="1"/>
  <c r="AV123" i="2"/>
  <c r="AV146" i="2" s="1"/>
  <c r="AV130" i="2"/>
  <c r="AV153" i="2" s="1"/>
  <c r="AV131" i="2"/>
  <c r="AV154" i="2" s="1"/>
  <c r="AV116" i="2"/>
  <c r="AV139" i="2" s="1"/>
  <c r="AV133" i="2"/>
  <c r="AV156" i="2" s="1"/>
  <c r="AV117" i="2"/>
  <c r="AV140" i="2" s="1"/>
  <c r="AV134" i="2"/>
  <c r="AV157" i="2" s="1"/>
  <c r="AV119" i="2"/>
  <c r="AV142" i="2" s="1"/>
  <c r="AV128" i="2"/>
  <c r="AV151" i="2" s="1"/>
  <c r="AV125" i="2"/>
  <c r="AV148" i="2" s="1"/>
  <c r="AV122" i="2"/>
  <c r="AV145" i="2" s="1"/>
  <c r="AV120" i="2"/>
  <c r="AV143" i="2" s="1"/>
  <c r="AV126" i="2"/>
  <c r="AV149" i="2" s="1"/>
  <c r="R121" i="2"/>
  <c r="R144" i="2" s="1"/>
  <c r="R127" i="2"/>
  <c r="R150" i="2" s="1"/>
  <c r="R117" i="2"/>
  <c r="R140" i="2" s="1"/>
  <c r="R115" i="2"/>
  <c r="R138" i="2" s="1"/>
  <c r="R135" i="2"/>
  <c r="R133" i="2"/>
  <c r="R156" i="2" s="1"/>
  <c r="R119" i="2"/>
  <c r="R142" i="2" s="1"/>
  <c r="R125" i="2"/>
  <c r="R148" i="2" s="1"/>
  <c r="R124" i="2"/>
  <c r="R147" i="2" s="1"/>
  <c r="R130" i="2"/>
  <c r="R153" i="2" s="1"/>
  <c r="R129" i="2"/>
  <c r="R152" i="2" s="1"/>
  <c r="R128" i="2"/>
  <c r="R151" i="2" s="1"/>
  <c r="R122" i="2"/>
  <c r="R145" i="2" s="1"/>
  <c r="R134" i="2"/>
  <c r="R157" i="2" s="1"/>
  <c r="R132" i="2"/>
  <c r="R155" i="2" s="1"/>
  <c r="R120" i="2"/>
  <c r="R143" i="2" s="1"/>
  <c r="R131" i="2"/>
  <c r="R154" i="2" s="1"/>
  <c r="R126" i="2"/>
  <c r="R149" i="2" s="1"/>
  <c r="R118" i="2"/>
  <c r="R141" i="2" s="1"/>
  <c r="R123" i="2"/>
  <c r="R146" i="2" s="1"/>
  <c r="R116" i="2"/>
  <c r="R139" i="2" s="1"/>
  <c r="BB119" i="2"/>
  <c r="BB142" i="2" s="1"/>
  <c r="BB120" i="2"/>
  <c r="BB143" i="2" s="1"/>
  <c r="BB121" i="2"/>
  <c r="BB144" i="2" s="1"/>
  <c r="BB132" i="2"/>
  <c r="BB155" i="2" s="1"/>
  <c r="BB116" i="2"/>
  <c r="BB139" i="2" s="1"/>
  <c r="BB133" i="2"/>
  <c r="BB156" i="2" s="1"/>
  <c r="BB123" i="2"/>
  <c r="BB146" i="2" s="1"/>
  <c r="BB128" i="2"/>
  <c r="BB151" i="2" s="1"/>
  <c r="BB122" i="2"/>
  <c r="BB145" i="2" s="1"/>
  <c r="BB129" i="2"/>
  <c r="BB152" i="2" s="1"/>
  <c r="BB131" i="2"/>
  <c r="BB154" i="2" s="1"/>
  <c r="BB115" i="2"/>
  <c r="BB138" i="2" s="1"/>
  <c r="BB126" i="2"/>
  <c r="BB149" i="2" s="1"/>
  <c r="BB117" i="2"/>
  <c r="BB140" i="2" s="1"/>
  <c r="BB118" i="2"/>
  <c r="BB141" i="2" s="1"/>
  <c r="BB125" i="2"/>
  <c r="BB148" i="2" s="1"/>
  <c r="BB124" i="2"/>
  <c r="BB147" i="2" s="1"/>
  <c r="BB135" i="2"/>
  <c r="BB134" i="2"/>
  <c r="BB130" i="2"/>
  <c r="BB153" i="2" s="1"/>
  <c r="BB127" i="2"/>
  <c r="BB150" i="2" s="1"/>
  <c r="C115" i="2"/>
  <c r="C119" i="2"/>
  <c r="C129" i="2"/>
  <c r="C135" i="2"/>
  <c r="C128" i="2"/>
  <c r="C127" i="2"/>
  <c r="C120" i="2"/>
  <c r="C130" i="2"/>
  <c r="C116" i="2"/>
  <c r="C123" i="2"/>
  <c r="C117" i="2"/>
  <c r="C132" i="2"/>
  <c r="C124" i="2"/>
  <c r="C131" i="2"/>
  <c r="C121" i="2"/>
  <c r="C133" i="2"/>
  <c r="BH5" i="2"/>
  <c r="C134" i="2"/>
  <c r="C122" i="2"/>
  <c r="C126" i="2"/>
  <c r="C118" i="2"/>
  <c r="C125" i="2"/>
  <c r="L134" i="2"/>
  <c r="L122" i="2"/>
  <c r="L145" i="2" s="1"/>
  <c r="L125" i="2"/>
  <c r="L148" i="2" s="1"/>
  <c r="L131" i="2"/>
  <c r="L154" i="2" s="1"/>
  <c r="L121" i="2"/>
  <c r="L144" i="2" s="1"/>
  <c r="L118" i="2"/>
  <c r="L141" i="2" s="1"/>
  <c r="L117" i="2"/>
  <c r="L140" i="2" s="1"/>
  <c r="L116" i="2"/>
  <c r="L139" i="2" s="1"/>
  <c r="L127" i="2"/>
  <c r="L150" i="2" s="1"/>
  <c r="L123" i="2"/>
  <c r="L146" i="2" s="1"/>
  <c r="L133" i="2"/>
  <c r="L156" i="2" s="1"/>
  <c r="L124" i="2"/>
  <c r="L147" i="2" s="1"/>
  <c r="L115" i="2"/>
  <c r="L138" i="2" s="1"/>
  <c r="L161" i="2" s="1"/>
  <c r="L126" i="2"/>
  <c r="L149" i="2" s="1"/>
  <c r="L135" i="2"/>
  <c r="L119" i="2"/>
  <c r="L142" i="2" s="1"/>
  <c r="L132" i="2"/>
  <c r="L155" i="2" s="1"/>
  <c r="L129" i="2"/>
  <c r="L152" i="2" s="1"/>
  <c r="L120" i="2"/>
  <c r="L143" i="2" s="1"/>
  <c r="L128" i="2"/>
  <c r="L151" i="2" s="1"/>
  <c r="L130" i="2"/>
  <c r="L153" i="2" s="1"/>
  <c r="F119" i="2"/>
  <c r="F142" i="2" s="1"/>
  <c r="F124" i="2"/>
  <c r="F147" i="2" s="1"/>
  <c r="F127" i="2"/>
  <c r="F150" i="2" s="1"/>
  <c r="F121" i="2"/>
  <c r="F144" i="2" s="1"/>
  <c r="F129" i="2"/>
  <c r="F152" i="2" s="1"/>
  <c r="F118" i="2"/>
  <c r="F141" i="2" s="1"/>
  <c r="F120" i="2"/>
  <c r="F143" i="2" s="1"/>
  <c r="F135" i="2"/>
  <c r="F158" i="2" s="1"/>
  <c r="F115" i="2"/>
  <c r="F138" i="2" s="1"/>
  <c r="F161" i="2" s="1"/>
  <c r="F123" i="2"/>
  <c r="F146" i="2" s="1"/>
  <c r="F128" i="2"/>
  <c r="F151" i="2" s="1"/>
  <c r="F126" i="2"/>
  <c r="F149" i="2" s="1"/>
  <c r="F130" i="2"/>
  <c r="F153" i="2" s="1"/>
  <c r="F122" i="2"/>
  <c r="F145" i="2" s="1"/>
  <c r="F134" i="2"/>
  <c r="F132" i="2"/>
  <c r="F155" i="2" s="1"/>
  <c r="F133" i="2"/>
  <c r="F156" i="2" s="1"/>
  <c r="F116" i="2"/>
  <c r="F139" i="2" s="1"/>
  <c r="F117" i="2"/>
  <c r="F140" i="2" s="1"/>
  <c r="F131" i="2"/>
  <c r="F154" i="2" s="1"/>
  <c r="F125" i="2"/>
  <c r="F148" i="2" s="1"/>
  <c r="AJ128" i="2"/>
  <c r="AJ151" i="2" s="1"/>
  <c r="AJ129" i="2"/>
  <c r="AJ152" i="2" s="1"/>
  <c r="AJ122" i="2"/>
  <c r="AJ145" i="2" s="1"/>
  <c r="AJ118" i="2"/>
  <c r="AJ141" i="2" s="1"/>
  <c r="AJ115" i="2"/>
  <c r="AJ138" i="2" s="1"/>
  <c r="AJ130" i="2"/>
  <c r="AJ153" i="2" s="1"/>
  <c r="AJ134" i="2"/>
  <c r="AJ157" i="2" s="1"/>
  <c r="AJ119" i="2"/>
  <c r="AJ142" i="2" s="1"/>
  <c r="AJ124" i="2"/>
  <c r="AJ147" i="2" s="1"/>
  <c r="AJ117" i="2"/>
  <c r="AJ140" i="2" s="1"/>
  <c r="AJ133" i="2"/>
  <c r="AJ156" i="2" s="1"/>
  <c r="AJ125" i="2"/>
  <c r="AJ148" i="2" s="1"/>
  <c r="AJ123" i="2"/>
  <c r="AJ146" i="2" s="1"/>
  <c r="AJ127" i="2"/>
  <c r="AJ150" i="2" s="1"/>
  <c r="AJ121" i="2"/>
  <c r="AJ144" i="2" s="1"/>
  <c r="AJ116" i="2"/>
  <c r="AJ139" i="2" s="1"/>
  <c r="AJ131" i="2"/>
  <c r="AJ154" i="2" s="1"/>
  <c r="AJ126" i="2"/>
  <c r="AJ149" i="2" s="1"/>
  <c r="AJ120" i="2"/>
  <c r="AJ143" i="2" s="1"/>
  <c r="AJ135" i="2"/>
  <c r="AJ132" i="2"/>
  <c r="AJ155" i="2" s="1"/>
  <c r="AG133" i="2"/>
  <c r="AG156" i="2" s="1"/>
  <c r="AG118" i="2"/>
  <c r="AG141" i="2" s="1"/>
  <c r="AG121" i="2"/>
  <c r="AG144" i="2" s="1"/>
  <c r="AG117" i="2"/>
  <c r="AG140" i="2" s="1"/>
  <c r="AG123" i="2"/>
  <c r="AG146" i="2" s="1"/>
  <c r="AG122" i="2"/>
  <c r="AG145" i="2" s="1"/>
  <c r="AG127" i="2"/>
  <c r="AG150" i="2" s="1"/>
  <c r="AG120" i="2"/>
  <c r="AG143" i="2" s="1"/>
  <c r="AG132" i="2"/>
  <c r="AG155" i="2" s="1"/>
  <c r="AG125" i="2"/>
  <c r="AG148" i="2" s="1"/>
  <c r="AG129" i="2"/>
  <c r="AG152" i="2" s="1"/>
  <c r="AG126" i="2"/>
  <c r="AG149" i="2" s="1"/>
  <c r="AG119" i="2"/>
  <c r="AG142" i="2" s="1"/>
  <c r="AG115" i="2"/>
  <c r="AG138" i="2" s="1"/>
  <c r="AG131" i="2"/>
  <c r="AG154" i="2" s="1"/>
  <c r="AG128" i="2"/>
  <c r="AG151" i="2" s="1"/>
  <c r="AG134" i="2"/>
  <c r="AG135" i="2"/>
  <c r="AG158" i="2" s="1"/>
  <c r="AG124" i="2"/>
  <c r="AG147" i="2" s="1"/>
  <c r="AG130" i="2"/>
  <c r="AG153" i="2" s="1"/>
  <c r="AG116" i="2"/>
  <c r="AG139" i="2" s="1"/>
  <c r="I121" i="2"/>
  <c r="I144" i="2" s="1"/>
  <c r="I131" i="2"/>
  <c r="I154" i="2" s="1"/>
  <c r="I128" i="2"/>
  <c r="I151" i="2" s="1"/>
  <c r="I126" i="2"/>
  <c r="I149" i="2" s="1"/>
  <c r="I132" i="2"/>
  <c r="I155" i="2" s="1"/>
  <c r="I133" i="2"/>
  <c r="I156" i="2" s="1"/>
  <c r="I115" i="2"/>
  <c r="I138" i="2" s="1"/>
  <c r="I161" i="2" s="1"/>
  <c r="I125" i="2"/>
  <c r="I148" i="2" s="1"/>
  <c r="I129" i="2"/>
  <c r="I152" i="2" s="1"/>
  <c r="I118" i="2"/>
  <c r="I141" i="2" s="1"/>
  <c r="I123" i="2"/>
  <c r="I146" i="2" s="1"/>
  <c r="I135" i="2"/>
  <c r="I127" i="2"/>
  <c r="I150" i="2" s="1"/>
  <c r="I130" i="2"/>
  <c r="I153" i="2" s="1"/>
  <c r="I124" i="2"/>
  <c r="I147" i="2" s="1"/>
  <c r="I134" i="2"/>
  <c r="I157" i="2" s="1"/>
  <c r="I122" i="2"/>
  <c r="I145" i="2" s="1"/>
  <c r="I116" i="2"/>
  <c r="I139" i="2" s="1"/>
  <c r="I117" i="2"/>
  <c r="I140" i="2" s="1"/>
  <c r="I120" i="2"/>
  <c r="I143" i="2" s="1"/>
  <c r="I119" i="2"/>
  <c r="I142" i="2" s="1"/>
  <c r="BE64" i="2"/>
  <c r="U128" i="2"/>
  <c r="U151" i="2" s="1"/>
  <c r="U129" i="2"/>
  <c r="U152" i="2" s="1"/>
  <c r="U119" i="2"/>
  <c r="U142" i="2" s="1"/>
  <c r="U135" i="2"/>
  <c r="U158" i="2" s="1"/>
  <c r="U118" i="2"/>
  <c r="U141" i="2" s="1"/>
  <c r="U115" i="2"/>
  <c r="U138" i="2" s="1"/>
  <c r="U161" i="2" s="1"/>
  <c r="U134" i="2"/>
  <c r="U157" i="2" s="1"/>
  <c r="U126" i="2"/>
  <c r="U149" i="2" s="1"/>
  <c r="U124" i="2"/>
  <c r="U147" i="2" s="1"/>
  <c r="U123" i="2"/>
  <c r="U146" i="2" s="1"/>
  <c r="U133" i="2"/>
  <c r="U156" i="2" s="1"/>
  <c r="U116" i="2"/>
  <c r="U139" i="2" s="1"/>
  <c r="U122" i="2"/>
  <c r="U145" i="2" s="1"/>
  <c r="U125" i="2"/>
  <c r="U148" i="2" s="1"/>
  <c r="U121" i="2"/>
  <c r="U144" i="2" s="1"/>
  <c r="U131" i="2"/>
  <c r="U154" i="2" s="1"/>
  <c r="U127" i="2"/>
  <c r="U150" i="2" s="1"/>
  <c r="U132" i="2"/>
  <c r="U155" i="2" s="1"/>
  <c r="U120" i="2"/>
  <c r="U143" i="2" s="1"/>
  <c r="U117" i="2"/>
  <c r="U140" i="2" s="1"/>
  <c r="U130" i="2"/>
  <c r="U153" i="2" s="1"/>
  <c r="AS120" i="2"/>
  <c r="AS143" i="2" s="1"/>
  <c r="AS117" i="2"/>
  <c r="AS140" i="2" s="1"/>
  <c r="AS128" i="2"/>
  <c r="AS151" i="2" s="1"/>
  <c r="AS123" i="2"/>
  <c r="AS146" i="2" s="1"/>
  <c r="AS135" i="2"/>
  <c r="AS158" i="2" s="1"/>
  <c r="AS121" i="2"/>
  <c r="AS144" i="2" s="1"/>
  <c r="AS132" i="2"/>
  <c r="AS155" i="2" s="1"/>
  <c r="AS122" i="2"/>
  <c r="AS145" i="2" s="1"/>
  <c r="AS118" i="2"/>
  <c r="AS141" i="2" s="1"/>
  <c r="AS125" i="2"/>
  <c r="AS148" i="2" s="1"/>
  <c r="AS126" i="2"/>
  <c r="AS149" i="2" s="1"/>
  <c r="AS130" i="2"/>
  <c r="AS153" i="2" s="1"/>
  <c r="AS133" i="2"/>
  <c r="AS156" i="2" s="1"/>
  <c r="AS129" i="2"/>
  <c r="AS152" i="2" s="1"/>
  <c r="AS127" i="2"/>
  <c r="AS150" i="2" s="1"/>
  <c r="AS119" i="2"/>
  <c r="AS142" i="2" s="1"/>
  <c r="AS131" i="2"/>
  <c r="AS154" i="2" s="1"/>
  <c r="AS134" i="2"/>
  <c r="AS157" i="2" s="1"/>
  <c r="AS124" i="2"/>
  <c r="AS147" i="2" s="1"/>
  <c r="AS116" i="2"/>
  <c r="AS139" i="2" s="1"/>
  <c r="AS115" i="2"/>
  <c r="AS138" i="2" s="1"/>
  <c r="X117" i="2"/>
  <c r="X140" i="2" s="1"/>
  <c r="X118" i="2"/>
  <c r="X141" i="2" s="1"/>
  <c r="X130" i="2"/>
  <c r="X153" i="2" s="1"/>
  <c r="X128" i="2"/>
  <c r="X151" i="2" s="1"/>
  <c r="X134" i="2"/>
  <c r="X157" i="2" s="1"/>
  <c r="X132" i="2"/>
  <c r="X155" i="2" s="1"/>
  <c r="X123" i="2"/>
  <c r="X146" i="2" s="1"/>
  <c r="X125" i="2"/>
  <c r="X148" i="2" s="1"/>
  <c r="X126" i="2"/>
  <c r="X149" i="2" s="1"/>
  <c r="X122" i="2"/>
  <c r="X145" i="2" s="1"/>
  <c r="X119" i="2"/>
  <c r="X142" i="2" s="1"/>
  <c r="X124" i="2"/>
  <c r="X147" i="2" s="1"/>
  <c r="X133" i="2"/>
  <c r="X156" i="2" s="1"/>
  <c r="X115" i="2"/>
  <c r="X138" i="2" s="1"/>
  <c r="X129" i="2"/>
  <c r="X152" i="2" s="1"/>
  <c r="X127" i="2"/>
  <c r="X150" i="2" s="1"/>
  <c r="X135" i="2"/>
  <c r="X120" i="2"/>
  <c r="X143" i="2" s="1"/>
  <c r="X116" i="2"/>
  <c r="X139" i="2" s="1"/>
  <c r="X121" i="2"/>
  <c r="X144" i="2" s="1"/>
  <c r="X131" i="2"/>
  <c r="X154" i="2" s="1"/>
  <c r="AY127" i="2"/>
  <c r="AY150" i="2" s="1"/>
  <c r="AY131" i="2"/>
  <c r="AY154" i="2" s="1"/>
  <c r="AY116" i="2"/>
  <c r="AY139" i="2" s="1"/>
  <c r="AY161" i="2" s="1"/>
  <c r="AY130" i="2"/>
  <c r="AY153" i="2" s="1"/>
  <c r="AY121" i="2"/>
  <c r="AY144" i="2" s="1"/>
  <c r="AY119" i="2"/>
  <c r="AY142" i="2" s="1"/>
  <c r="AY124" i="2"/>
  <c r="AY147" i="2" s="1"/>
  <c r="AY123" i="2"/>
  <c r="AY146" i="2" s="1"/>
  <c r="AY134" i="2"/>
  <c r="AY157" i="2" s="1"/>
  <c r="AY125" i="2"/>
  <c r="AY148" i="2" s="1"/>
  <c r="AY117" i="2"/>
  <c r="AY140" i="2" s="1"/>
  <c r="AY129" i="2"/>
  <c r="AY152" i="2" s="1"/>
  <c r="AY118" i="2"/>
  <c r="AY141" i="2" s="1"/>
  <c r="AY126" i="2"/>
  <c r="AY149" i="2" s="1"/>
  <c r="AY133" i="2"/>
  <c r="AY156" i="2" s="1"/>
  <c r="AY135" i="2"/>
  <c r="AY120" i="2"/>
  <c r="AY143" i="2" s="1"/>
  <c r="AY128" i="2"/>
  <c r="AY151" i="2" s="1"/>
  <c r="AY132" i="2"/>
  <c r="AY155" i="2" s="1"/>
  <c r="AY122" i="2"/>
  <c r="AY145" i="2" s="1"/>
  <c r="AA128" i="2"/>
  <c r="AA151" i="2" s="1"/>
  <c r="AA122" i="2"/>
  <c r="AA145" i="2" s="1"/>
  <c r="AA135" i="2"/>
  <c r="AA158" i="2" s="1"/>
  <c r="AA116" i="2"/>
  <c r="AA139" i="2" s="1"/>
  <c r="AA117" i="2"/>
  <c r="AA140" i="2" s="1"/>
  <c r="AA131" i="2"/>
  <c r="AA154" i="2" s="1"/>
  <c r="AA129" i="2"/>
  <c r="AA152" i="2" s="1"/>
  <c r="AA124" i="2"/>
  <c r="AA147" i="2" s="1"/>
  <c r="AA120" i="2"/>
  <c r="AA143" i="2" s="1"/>
  <c r="AA130" i="2"/>
  <c r="AA153" i="2" s="1"/>
  <c r="AA127" i="2"/>
  <c r="AA150" i="2" s="1"/>
  <c r="AA126" i="2"/>
  <c r="AA149" i="2" s="1"/>
  <c r="AA119" i="2"/>
  <c r="AA142" i="2" s="1"/>
  <c r="AA134" i="2"/>
  <c r="AA157" i="2" s="1"/>
  <c r="AA121" i="2"/>
  <c r="AA144" i="2" s="1"/>
  <c r="AA115" i="2"/>
  <c r="AA138" i="2" s="1"/>
  <c r="AA133" i="2"/>
  <c r="AA156" i="2" s="1"/>
  <c r="AA125" i="2"/>
  <c r="AA148" i="2" s="1"/>
  <c r="AA123" i="2"/>
  <c r="AA146" i="2" s="1"/>
  <c r="AA118" i="2"/>
  <c r="AA141" i="2" s="1"/>
  <c r="AA132" i="2"/>
  <c r="AA155" i="2" s="1"/>
  <c r="AD121" i="2"/>
  <c r="AD144" i="2" s="1"/>
  <c r="AD119" i="2"/>
  <c r="AD142" i="2" s="1"/>
  <c r="AD128" i="2"/>
  <c r="AD151" i="2" s="1"/>
  <c r="AD120" i="2"/>
  <c r="AD143" i="2" s="1"/>
  <c r="AD122" i="2"/>
  <c r="AD145" i="2" s="1"/>
  <c r="AD130" i="2"/>
  <c r="AD153" i="2" s="1"/>
  <c r="AD129" i="2"/>
  <c r="AD152" i="2" s="1"/>
  <c r="AD123" i="2"/>
  <c r="AD146" i="2" s="1"/>
  <c r="AD126" i="2"/>
  <c r="AD149" i="2" s="1"/>
  <c r="AD127" i="2"/>
  <c r="AD150" i="2" s="1"/>
  <c r="AD115" i="2"/>
  <c r="AD138" i="2" s="1"/>
  <c r="AD134" i="2"/>
  <c r="AD157" i="2" s="1"/>
  <c r="AD116" i="2"/>
  <c r="AD139" i="2" s="1"/>
  <c r="AD118" i="2"/>
  <c r="AD141" i="2" s="1"/>
  <c r="AD135" i="2"/>
  <c r="AD158" i="2" s="1"/>
  <c r="AD117" i="2"/>
  <c r="AD140" i="2" s="1"/>
  <c r="AD132" i="2"/>
  <c r="AD155" i="2" s="1"/>
  <c r="AD125" i="2"/>
  <c r="AD148" i="2" s="1"/>
  <c r="AD124" i="2"/>
  <c r="AD147" i="2" s="1"/>
  <c r="AD131" i="2"/>
  <c r="AD154" i="2" s="1"/>
  <c r="AD133" i="2"/>
  <c r="AD156" i="2" s="1"/>
  <c r="BE199" i="2"/>
  <c r="BE62" i="2"/>
  <c r="BE71" i="2"/>
  <c r="BE69" i="2"/>
  <c r="BY29" i="2"/>
  <c r="BS33" i="2"/>
  <c r="BS32" i="2"/>
  <c r="BE66" i="2"/>
  <c r="BV33" i="2"/>
  <c r="BV32" i="2"/>
  <c r="BB158" i="2"/>
  <c r="R158" i="2"/>
  <c r="AY158" i="2"/>
  <c r="X158" i="2"/>
  <c r="I158" i="2"/>
  <c r="AV158" i="2"/>
  <c r="O158" i="2"/>
  <c r="AJ158" i="2"/>
  <c r="L158" i="2"/>
  <c r="L157" i="2"/>
  <c r="AG157" i="2"/>
  <c r="BB157" i="2"/>
  <c r="AP157" i="2"/>
  <c r="C157" i="2"/>
  <c r="F157" i="2"/>
  <c r="BE73" i="2"/>
  <c r="BE74" i="2"/>
  <c r="BE68" i="2"/>
  <c r="BE77" i="2"/>
  <c r="BE75" i="2"/>
  <c r="BE60" i="2"/>
  <c r="BE179" i="2" s="1"/>
  <c r="BE63" i="2"/>
  <c r="BE78" i="2"/>
  <c r="P35" i="4"/>
  <c r="P34" i="4"/>
  <c r="AU21" i="4"/>
  <c r="AW21" i="4" s="1"/>
  <c r="AX72" i="4"/>
  <c r="AY72" i="4"/>
  <c r="CA25" i="2"/>
  <c r="CC25" i="2" s="1"/>
  <c r="BU25" i="2"/>
  <c r="BW25" i="2" s="1"/>
  <c r="BR25" i="2"/>
  <c r="BD130" i="2"/>
  <c r="BF25" i="2"/>
  <c r="BH121" i="2" l="1"/>
  <c r="BN121" i="2"/>
  <c r="BK121" i="2"/>
  <c r="C144" i="2"/>
  <c r="BB161" i="2"/>
  <c r="C146" i="2"/>
  <c r="BK123" i="2"/>
  <c r="BN123" i="2"/>
  <c r="BH123" i="2"/>
  <c r="BN116" i="2"/>
  <c r="BH116" i="2"/>
  <c r="C139" i="2"/>
  <c r="BK116" i="2"/>
  <c r="BK130" i="2"/>
  <c r="BH130" i="2"/>
  <c r="BN130" i="2"/>
  <c r="C153" i="2"/>
  <c r="AP161" i="2"/>
  <c r="BN128" i="2"/>
  <c r="BK128" i="2"/>
  <c r="C151" i="2"/>
  <c r="BH128" i="2"/>
  <c r="X161" i="2"/>
  <c r="BH135" i="2"/>
  <c r="BK135" i="2"/>
  <c r="BN135" i="2"/>
  <c r="AD161" i="2"/>
  <c r="BH129" i="2"/>
  <c r="BN129" i="2"/>
  <c r="C152" i="2"/>
  <c r="BK129" i="2"/>
  <c r="O161" i="2"/>
  <c r="BH125" i="2"/>
  <c r="C148" i="2"/>
  <c r="BN125" i="2"/>
  <c r="BK125" i="2"/>
  <c r="BK119" i="2"/>
  <c r="C142" i="2"/>
  <c r="BH119" i="2"/>
  <c r="BN119" i="2"/>
  <c r="R161" i="2"/>
  <c r="C154" i="2"/>
  <c r="BN131" i="2"/>
  <c r="BK131" i="2"/>
  <c r="BH131" i="2"/>
  <c r="BK124" i="2"/>
  <c r="C147" i="2"/>
  <c r="BN124" i="2"/>
  <c r="BH124" i="2"/>
  <c r="C140" i="2"/>
  <c r="BN117" i="2"/>
  <c r="BK117" i="2"/>
  <c r="BH117" i="2"/>
  <c r="AS161" i="2"/>
  <c r="BK120" i="2"/>
  <c r="BN120" i="2"/>
  <c r="C143" i="2"/>
  <c r="BH120" i="2"/>
  <c r="BN127" i="2"/>
  <c r="C150" i="2"/>
  <c r="BH127" i="2"/>
  <c r="BK127" i="2"/>
  <c r="C141" i="2"/>
  <c r="BK118" i="2"/>
  <c r="BH118" i="2"/>
  <c r="BN118" i="2"/>
  <c r="C138" i="2"/>
  <c r="BN115" i="2"/>
  <c r="BH115" i="2"/>
  <c r="BK115" i="2"/>
  <c r="AG161" i="2"/>
  <c r="BK122" i="2"/>
  <c r="BH122" i="2"/>
  <c r="C145" i="2"/>
  <c r="BN122" i="2"/>
  <c r="BG64" i="4" s="1"/>
  <c r="BB19" i="4" s="1"/>
  <c r="BC19" i="4" s="1"/>
  <c r="AV161" i="2"/>
  <c r="BK134" i="2"/>
  <c r="BN134" i="2"/>
  <c r="BH134" i="2"/>
  <c r="C155" i="2"/>
  <c r="BK132" i="2"/>
  <c r="BN132" i="2"/>
  <c r="BH132" i="2"/>
  <c r="C158" i="2"/>
  <c r="BH158" i="2" s="1"/>
  <c r="AJ161" i="2"/>
  <c r="AA161" i="2"/>
  <c r="BH126" i="2"/>
  <c r="BK126" i="2"/>
  <c r="C149" i="2"/>
  <c r="BN126" i="2"/>
  <c r="C156" i="2"/>
  <c r="BH133" i="2"/>
  <c r="BN133" i="2"/>
  <c r="BK133" i="2"/>
  <c r="BE103" i="2"/>
  <c r="BY33" i="2"/>
  <c r="BE184" i="2"/>
  <c r="BY32" i="2"/>
  <c r="BE93" i="2"/>
  <c r="U163" i="2"/>
  <c r="U160" i="2"/>
  <c r="F163" i="2"/>
  <c r="F160" i="2"/>
  <c r="BH157" i="2"/>
  <c r="BK157" i="2"/>
  <c r="BN157" i="2"/>
  <c r="AP163" i="2"/>
  <c r="AP160" i="2"/>
  <c r="X163" i="2"/>
  <c r="X160" i="2"/>
  <c r="BE95" i="2"/>
  <c r="AV163" i="2"/>
  <c r="AV160" i="2"/>
  <c r="BE180" i="2"/>
  <c r="BE185" i="2"/>
  <c r="AS163" i="2"/>
  <c r="AS160" i="2"/>
  <c r="AY160" i="2"/>
  <c r="BE171" i="2"/>
  <c r="BE102" i="2"/>
  <c r="I163" i="2"/>
  <c r="I160" i="2"/>
  <c r="BE194" i="2"/>
  <c r="BE190" i="2"/>
  <c r="R163" i="2"/>
  <c r="R160" i="2"/>
  <c r="BE189" i="2"/>
  <c r="BE200" i="2"/>
  <c r="AG163" i="2"/>
  <c r="AG160" i="2"/>
  <c r="BE205" i="2"/>
  <c r="BE99" i="2"/>
  <c r="BE191" i="2"/>
  <c r="AA163" i="2"/>
  <c r="AA160" i="2"/>
  <c r="BE169" i="2"/>
  <c r="BE181" i="2"/>
  <c r="BE202" i="2"/>
  <c r="BE101" i="2"/>
  <c r="AJ160" i="2"/>
  <c r="AJ163" i="2"/>
  <c r="BE174" i="2"/>
  <c r="BE92" i="2"/>
  <c r="AD163" i="2"/>
  <c r="AD160" i="2"/>
  <c r="BE176" i="2"/>
  <c r="BE98" i="2"/>
  <c r="BE186" i="2"/>
  <c r="L163" i="2"/>
  <c r="L160" i="2"/>
  <c r="BE100" i="2"/>
  <c r="BE201" i="2"/>
  <c r="BE196" i="2"/>
  <c r="BE97" i="2"/>
  <c r="BE94" i="2"/>
  <c r="BE206" i="2"/>
  <c r="BE170" i="2"/>
  <c r="BE90" i="2"/>
  <c r="BE195" i="2"/>
  <c r="BE91" i="2"/>
  <c r="BK158" i="2"/>
  <c r="O160" i="2"/>
  <c r="O163" i="2"/>
  <c r="BE88" i="2"/>
  <c r="BB163" i="2"/>
  <c r="BB160" i="2"/>
  <c r="BE175" i="2"/>
  <c r="BE89" i="2"/>
  <c r="BE96" i="2"/>
  <c r="BO74" i="4"/>
  <c r="BK74" i="4"/>
  <c r="AV73" i="4"/>
  <c r="AU73" i="4"/>
  <c r="AW73" i="4"/>
  <c r="I73" i="4"/>
  <c r="BD26" i="2"/>
  <c r="BT25" i="2"/>
  <c r="BX25" i="2"/>
  <c r="BZ25" i="2" s="1"/>
  <c r="BF130" i="2"/>
  <c r="BN158" i="2" l="1"/>
  <c r="BK150" i="2"/>
  <c r="BH150" i="2"/>
  <c r="BN150" i="2"/>
  <c r="BN142" i="2"/>
  <c r="BK142" i="2"/>
  <c r="BH142" i="2"/>
  <c r="BN143" i="2"/>
  <c r="BH143" i="2"/>
  <c r="BK143" i="2"/>
  <c r="BN153" i="2"/>
  <c r="BH153" i="2"/>
  <c r="BK153" i="2"/>
  <c r="BK145" i="2"/>
  <c r="BH145" i="2"/>
  <c r="BN145" i="2"/>
  <c r="BN139" i="2"/>
  <c r="BH139" i="2"/>
  <c r="BK139" i="2"/>
  <c r="BN156" i="2"/>
  <c r="BH156" i="2"/>
  <c r="BK156" i="2"/>
  <c r="BH152" i="2"/>
  <c r="BK152" i="2"/>
  <c r="BN152" i="2"/>
  <c r="BK149" i="2"/>
  <c r="BH149" i="2"/>
  <c r="BN149" i="2"/>
  <c r="BN147" i="2"/>
  <c r="BH147" i="2"/>
  <c r="BK147" i="2"/>
  <c r="BK136" i="2"/>
  <c r="BN136" i="2"/>
  <c r="BH144" i="2"/>
  <c r="BN144" i="2"/>
  <c r="BK144" i="2"/>
  <c r="BE107" i="2"/>
  <c r="BN141" i="2"/>
  <c r="BK141" i="2"/>
  <c r="BH141" i="2"/>
  <c r="BN155" i="2"/>
  <c r="BK155" i="2"/>
  <c r="BH155" i="2"/>
  <c r="BN140" i="2"/>
  <c r="BH140" i="2"/>
  <c r="BK140" i="2"/>
  <c r="C160" i="2"/>
  <c r="C163" i="2"/>
  <c r="BK148" i="2"/>
  <c r="BN148" i="2"/>
  <c r="BH148" i="2"/>
  <c r="BK138" i="2"/>
  <c r="BH138" i="2"/>
  <c r="C161" i="2"/>
  <c r="BN138" i="2"/>
  <c r="BN146" i="2"/>
  <c r="BH146" i="2"/>
  <c r="BK146" i="2"/>
  <c r="BE105" i="2"/>
  <c r="BN154" i="2"/>
  <c r="BH154" i="2"/>
  <c r="BK154" i="2"/>
  <c r="BK151" i="2"/>
  <c r="BH151" i="2"/>
  <c r="BN151" i="2"/>
  <c r="BE109" i="2"/>
  <c r="BE104" i="2"/>
  <c r="BN160" i="2"/>
  <c r="BK160" i="2"/>
  <c r="BN163" i="2"/>
  <c r="BK163" i="2"/>
  <c r="BF26" i="2"/>
  <c r="BU26" i="2"/>
  <c r="BW26" i="2" s="1"/>
  <c r="BD131" i="2"/>
  <c r="CA26" i="2"/>
  <c r="CC26" i="2" s="1"/>
  <c r="BR26" i="2"/>
  <c r="AX73" i="4"/>
  <c r="AU20" i="4"/>
  <c r="AW20" i="4" s="1"/>
  <c r="AY73" i="4"/>
  <c r="BE111" i="2" l="1"/>
  <c r="BN161" i="2"/>
  <c r="BK161" i="2"/>
  <c r="J74" i="4"/>
  <c r="AX16" i="4"/>
  <c r="AZ16" i="4" s="1"/>
  <c r="K73" i="4"/>
  <c r="BI73" i="4"/>
  <c r="BA20" i="4" s="1"/>
  <c r="BC20" i="4" s="1"/>
  <c r="K75" i="4"/>
  <c r="BI75" i="4"/>
  <c r="BA18" i="4" s="1"/>
  <c r="BC18" i="4" s="1"/>
  <c r="J75" i="4"/>
  <c r="AX18" i="4"/>
  <c r="AZ18" i="4" s="1"/>
  <c r="BI74" i="4"/>
  <c r="BA16" i="4" s="1"/>
  <c r="BC16" i="4" s="1"/>
  <c r="K74" i="4"/>
  <c r="J73" i="4"/>
  <c r="AX20" i="4"/>
  <c r="AZ20" i="4" s="1"/>
  <c r="BO75" i="4"/>
  <c r="BK75" i="4"/>
  <c r="AV74" i="4"/>
  <c r="AW74" i="4"/>
  <c r="I74" i="4"/>
  <c r="AU74" i="4"/>
  <c r="BD27" i="2"/>
  <c r="BX26" i="2"/>
  <c r="BZ26" i="2" s="1"/>
  <c r="BT26" i="2"/>
  <c r="BF131" i="2"/>
  <c r="R36" i="4" l="1"/>
  <c r="Q36" i="4"/>
  <c r="AX74" i="4"/>
  <c r="AU16" i="4"/>
  <c r="AW16" i="4" s="1"/>
  <c r="AY74" i="4"/>
  <c r="CA27" i="2"/>
  <c r="CC27" i="2" s="1"/>
  <c r="BR27" i="2"/>
  <c r="BF27" i="2"/>
  <c r="BD132" i="2"/>
  <c r="BU27" i="2"/>
  <c r="BW27" i="2" s="1"/>
  <c r="BO76" i="4" l="1"/>
  <c r="BK76" i="4"/>
  <c r="BF132" i="2"/>
  <c r="BT27" i="2"/>
  <c r="BX27" i="2"/>
  <c r="BZ27" i="2" s="1"/>
  <c r="I75" i="4"/>
  <c r="AV75" i="4"/>
  <c r="AW75" i="4"/>
  <c r="BD28" i="2"/>
  <c r="AU75" i="4"/>
  <c r="P36" i="4" l="1"/>
  <c r="CA28" i="2"/>
  <c r="CC28" i="2" s="1"/>
  <c r="BR28" i="2"/>
  <c r="BU28" i="2"/>
  <c r="BW28" i="2" s="1"/>
  <c r="BD133" i="2"/>
  <c r="BF28" i="2"/>
  <c r="AU18" i="4"/>
  <c r="AW18" i="4" s="1"/>
  <c r="AX75" i="4"/>
  <c r="AY75" i="4"/>
  <c r="BO77" i="4" l="1"/>
  <c r="BK77" i="4"/>
  <c r="AV76" i="4"/>
  <c r="AU76" i="4"/>
  <c r="AW76" i="4"/>
  <c r="I76" i="4"/>
  <c r="BD29" i="2"/>
  <c r="BF133" i="2"/>
  <c r="BX28" i="2"/>
  <c r="BZ28" i="2" s="1"/>
  <c r="BT28" i="2"/>
  <c r="AO5" i="2" l="1"/>
  <c r="H5" i="2"/>
  <c r="AX5" i="2"/>
  <c r="AC5" i="2"/>
  <c r="Z5" i="2"/>
  <c r="W5" i="2"/>
  <c r="Q5" i="2"/>
  <c r="AU5" i="2"/>
  <c r="K5" i="2"/>
  <c r="AI5" i="2"/>
  <c r="E5" i="2"/>
  <c r="B5" i="2"/>
  <c r="AF5" i="2"/>
  <c r="T5" i="2"/>
  <c r="N5" i="2"/>
  <c r="BA5" i="2"/>
  <c r="AR5" i="2"/>
  <c r="CA29" i="2"/>
  <c r="CC29" i="2" s="1"/>
  <c r="BU29" i="2"/>
  <c r="BW29" i="2" s="1"/>
  <c r="BF29" i="2"/>
  <c r="BR29" i="2"/>
  <c r="BD134" i="2"/>
  <c r="AU7" i="4"/>
  <c r="AW7" i="4" s="1"/>
  <c r="AX76" i="4"/>
  <c r="AY76" i="4"/>
  <c r="BA117" i="2" l="1"/>
  <c r="BA133" i="2"/>
  <c r="BA121" i="2"/>
  <c r="BA127" i="2"/>
  <c r="BA115" i="2"/>
  <c r="BA129" i="2"/>
  <c r="BA120" i="2"/>
  <c r="BA122" i="2"/>
  <c r="BA128" i="2"/>
  <c r="BA131" i="2"/>
  <c r="BA116" i="2"/>
  <c r="BA135" i="2"/>
  <c r="BC135" i="2" s="1"/>
  <c r="BA118" i="2"/>
  <c r="BA134" i="2"/>
  <c r="BC134" i="2" s="1"/>
  <c r="BA119" i="2"/>
  <c r="BA123" i="2"/>
  <c r="BA124" i="2"/>
  <c r="BA130" i="2"/>
  <c r="BA132" i="2"/>
  <c r="BA125" i="2"/>
  <c r="BA126" i="2"/>
  <c r="B131" i="2"/>
  <c r="B115" i="2"/>
  <c r="B128" i="2"/>
  <c r="B127" i="2"/>
  <c r="B122" i="2"/>
  <c r="B125" i="2"/>
  <c r="B116" i="2"/>
  <c r="B133" i="2"/>
  <c r="B134" i="2"/>
  <c r="B157" i="2" s="1"/>
  <c r="B124" i="2"/>
  <c r="B121" i="2"/>
  <c r="B126" i="2"/>
  <c r="B120" i="2"/>
  <c r="BG5" i="2"/>
  <c r="B132" i="2"/>
  <c r="B129" i="2"/>
  <c r="B117" i="2"/>
  <c r="B130" i="2"/>
  <c r="B118" i="2"/>
  <c r="B123" i="2"/>
  <c r="B119" i="2"/>
  <c r="B135" i="2"/>
  <c r="AI127" i="2"/>
  <c r="AI131" i="2"/>
  <c r="AI128" i="2"/>
  <c r="AI121" i="2"/>
  <c r="AI132" i="2"/>
  <c r="AI125" i="2"/>
  <c r="AI115" i="2"/>
  <c r="AI135" i="2"/>
  <c r="AK135" i="2" s="1"/>
  <c r="AI130" i="2"/>
  <c r="AI124" i="2"/>
  <c r="AI120" i="2"/>
  <c r="AI133" i="2"/>
  <c r="AI117" i="2"/>
  <c r="AI134" i="2"/>
  <c r="AK134" i="2" s="1"/>
  <c r="AI123" i="2"/>
  <c r="AI118" i="2"/>
  <c r="AI129" i="2"/>
  <c r="AI119" i="2"/>
  <c r="AI122" i="2"/>
  <c r="AI126" i="2"/>
  <c r="AI116" i="2"/>
  <c r="AR133" i="2"/>
  <c r="AR134" i="2"/>
  <c r="AT134" i="2" s="1"/>
  <c r="AR119" i="2"/>
  <c r="AR117" i="2"/>
  <c r="AR125" i="2"/>
  <c r="AR115" i="2"/>
  <c r="AR132" i="2"/>
  <c r="AR120" i="2"/>
  <c r="AR127" i="2"/>
  <c r="AR128" i="2"/>
  <c r="AR126" i="2"/>
  <c r="AR122" i="2"/>
  <c r="AR121" i="2"/>
  <c r="AR130" i="2"/>
  <c r="AR131" i="2"/>
  <c r="AR135" i="2"/>
  <c r="AT135" i="2" s="1"/>
  <c r="AR118" i="2"/>
  <c r="AR123" i="2"/>
  <c r="AR129" i="2"/>
  <c r="AR124" i="2"/>
  <c r="AR116" i="2"/>
  <c r="N135" i="2"/>
  <c r="P135" i="2" s="1"/>
  <c r="N133" i="2"/>
  <c r="N115" i="2"/>
  <c r="N122" i="2"/>
  <c r="N125" i="2"/>
  <c r="N116" i="2"/>
  <c r="N119" i="2"/>
  <c r="N128" i="2"/>
  <c r="N130" i="2"/>
  <c r="N129" i="2"/>
  <c r="N127" i="2"/>
  <c r="N134" i="2"/>
  <c r="P134" i="2" s="1"/>
  <c r="N126" i="2"/>
  <c r="N123" i="2"/>
  <c r="N124" i="2"/>
  <c r="N118" i="2"/>
  <c r="N120" i="2"/>
  <c r="N131" i="2"/>
  <c r="N132" i="2"/>
  <c r="N117" i="2"/>
  <c r="N121" i="2"/>
  <c r="T125" i="2"/>
  <c r="T126" i="2"/>
  <c r="T124" i="2"/>
  <c r="T117" i="2"/>
  <c r="T123" i="2"/>
  <c r="T120" i="2"/>
  <c r="T118" i="2"/>
  <c r="T130" i="2"/>
  <c r="T133" i="2"/>
  <c r="T135" i="2"/>
  <c r="V135" i="2" s="1"/>
  <c r="T122" i="2"/>
  <c r="T115" i="2"/>
  <c r="T129" i="2"/>
  <c r="T119" i="2"/>
  <c r="T128" i="2"/>
  <c r="T132" i="2"/>
  <c r="T127" i="2"/>
  <c r="T134" i="2"/>
  <c r="V134" i="2" s="1"/>
  <c r="T121" i="2"/>
  <c r="T131" i="2"/>
  <c r="T116" i="2"/>
  <c r="AF131" i="2"/>
  <c r="AF121" i="2"/>
  <c r="AF117" i="2"/>
  <c r="AF132" i="2"/>
  <c r="AF125" i="2"/>
  <c r="AF129" i="2"/>
  <c r="AF133" i="2"/>
  <c r="AF126" i="2"/>
  <c r="AF127" i="2"/>
  <c r="AF135" i="2"/>
  <c r="AH135" i="2" s="1"/>
  <c r="AF122" i="2"/>
  <c r="AF130" i="2"/>
  <c r="AF118" i="2"/>
  <c r="AF120" i="2"/>
  <c r="AF116" i="2"/>
  <c r="AF119" i="2"/>
  <c r="AF115" i="2"/>
  <c r="AF128" i="2"/>
  <c r="AF134" i="2"/>
  <c r="AH134" i="2" s="1"/>
  <c r="AF124" i="2"/>
  <c r="AF123" i="2"/>
  <c r="E116" i="2"/>
  <c r="E130" i="2"/>
  <c r="E118" i="2"/>
  <c r="E128" i="2"/>
  <c r="E117" i="2"/>
  <c r="E121" i="2"/>
  <c r="E126" i="2"/>
  <c r="E134" i="2"/>
  <c r="G134" i="2" s="1"/>
  <c r="E135" i="2"/>
  <c r="G135" i="2" s="1"/>
  <c r="E123" i="2"/>
  <c r="E127" i="2"/>
  <c r="E119" i="2"/>
  <c r="E124" i="2"/>
  <c r="E120" i="2"/>
  <c r="E131" i="2"/>
  <c r="E125" i="2"/>
  <c r="E132" i="2"/>
  <c r="E122" i="2"/>
  <c r="E133" i="2"/>
  <c r="E115" i="2"/>
  <c r="E129" i="2"/>
  <c r="K135" i="2"/>
  <c r="M135" i="2" s="1"/>
  <c r="K134" i="2"/>
  <c r="M134" i="2" s="1"/>
  <c r="K130" i="2"/>
  <c r="K128" i="2"/>
  <c r="K129" i="2"/>
  <c r="K127" i="2"/>
  <c r="K117" i="2"/>
  <c r="K126" i="2"/>
  <c r="K132" i="2"/>
  <c r="K118" i="2"/>
  <c r="K122" i="2"/>
  <c r="K131" i="2"/>
  <c r="K124" i="2"/>
  <c r="K116" i="2"/>
  <c r="K119" i="2"/>
  <c r="K115" i="2"/>
  <c r="K123" i="2"/>
  <c r="K120" i="2"/>
  <c r="K121" i="2"/>
  <c r="K125" i="2"/>
  <c r="K133" i="2"/>
  <c r="Z119" i="2"/>
  <c r="Z128" i="2"/>
  <c r="Z117" i="2"/>
  <c r="Z130" i="2"/>
  <c r="Z132" i="2"/>
  <c r="Z127" i="2"/>
  <c r="Z134" i="2"/>
  <c r="AB134" i="2" s="1"/>
  <c r="Z124" i="2"/>
  <c r="Z126" i="2"/>
  <c r="Z135" i="2"/>
  <c r="AB135" i="2" s="1"/>
  <c r="Z116" i="2"/>
  <c r="Z122" i="2"/>
  <c r="Z125" i="2"/>
  <c r="Z123" i="2"/>
  <c r="Z120" i="2"/>
  <c r="Z133" i="2"/>
  <c r="Z118" i="2"/>
  <c r="Z131" i="2"/>
  <c r="Z115" i="2"/>
  <c r="Z129" i="2"/>
  <c r="Z121" i="2"/>
  <c r="AU128" i="2"/>
  <c r="AU123" i="2"/>
  <c r="AU126" i="2"/>
  <c r="AU134" i="2"/>
  <c r="AW134" i="2" s="1"/>
  <c r="AU132" i="2"/>
  <c r="AU131" i="2"/>
  <c r="AU115" i="2"/>
  <c r="AU119" i="2"/>
  <c r="AU133" i="2"/>
  <c r="AU118" i="2"/>
  <c r="AU116" i="2"/>
  <c r="AU129" i="2"/>
  <c r="AU124" i="2"/>
  <c r="AU125" i="2"/>
  <c r="AU120" i="2"/>
  <c r="AU122" i="2"/>
  <c r="AU117" i="2"/>
  <c r="AU127" i="2"/>
  <c r="AU135" i="2"/>
  <c r="AW135" i="2" s="1"/>
  <c r="AU121" i="2"/>
  <c r="AU130" i="2"/>
  <c r="Q115" i="2"/>
  <c r="Q125" i="2"/>
  <c r="Q127" i="2"/>
  <c r="Q118" i="2"/>
  <c r="Q135" i="2"/>
  <c r="S135" i="2" s="1"/>
  <c r="Q130" i="2"/>
  <c r="Q133" i="2"/>
  <c r="Q132" i="2"/>
  <c r="Q126" i="2"/>
  <c r="Q122" i="2"/>
  <c r="Q134" i="2"/>
  <c r="S134" i="2" s="1"/>
  <c r="Q128" i="2"/>
  <c r="Q119" i="2"/>
  <c r="Q120" i="2"/>
  <c r="Q129" i="2"/>
  <c r="Q131" i="2"/>
  <c r="Q116" i="2"/>
  <c r="Q121" i="2"/>
  <c r="Q123" i="2"/>
  <c r="Q117" i="2"/>
  <c r="Q124" i="2"/>
  <c r="W132" i="2"/>
  <c r="W135" i="2"/>
  <c r="Y135" i="2" s="1"/>
  <c r="W128" i="2"/>
  <c r="W118" i="2"/>
  <c r="W127" i="2"/>
  <c r="W116" i="2"/>
  <c r="W134" i="2"/>
  <c r="Y134" i="2" s="1"/>
  <c r="W130" i="2"/>
  <c r="W129" i="2"/>
  <c r="W115" i="2"/>
  <c r="W121" i="2"/>
  <c r="W123" i="2"/>
  <c r="W133" i="2"/>
  <c r="W126" i="2"/>
  <c r="W124" i="2"/>
  <c r="W117" i="2"/>
  <c r="W120" i="2"/>
  <c r="W125" i="2"/>
  <c r="W119" i="2"/>
  <c r="W122" i="2"/>
  <c r="W131" i="2"/>
  <c r="AC131" i="2"/>
  <c r="AC132" i="2"/>
  <c r="AC119" i="2"/>
  <c r="AC124" i="2"/>
  <c r="AC120" i="2"/>
  <c r="AC130" i="2"/>
  <c r="AC122" i="2"/>
  <c r="AC121" i="2"/>
  <c r="AC118" i="2"/>
  <c r="AC133" i="2"/>
  <c r="AC117" i="2"/>
  <c r="AC115" i="2"/>
  <c r="AC134" i="2"/>
  <c r="AE134" i="2" s="1"/>
  <c r="AC126" i="2"/>
  <c r="AC123" i="2"/>
  <c r="AC116" i="2"/>
  <c r="AC128" i="2"/>
  <c r="AC129" i="2"/>
  <c r="AC125" i="2"/>
  <c r="AC135" i="2"/>
  <c r="AE135" i="2" s="1"/>
  <c r="AC127" i="2"/>
  <c r="AX121" i="2"/>
  <c r="AX133" i="2"/>
  <c r="AX131" i="2"/>
  <c r="AX127" i="2"/>
  <c r="AX124" i="2"/>
  <c r="AX134" i="2"/>
  <c r="AZ134" i="2" s="1"/>
  <c r="AX130" i="2"/>
  <c r="AX135" i="2"/>
  <c r="AZ135" i="2" s="1"/>
  <c r="AX120" i="2"/>
  <c r="AX132" i="2"/>
  <c r="AX125" i="2"/>
  <c r="AX116" i="2"/>
  <c r="AX123" i="2"/>
  <c r="AX117" i="2"/>
  <c r="AX128" i="2"/>
  <c r="AX126" i="2"/>
  <c r="AX129" i="2"/>
  <c r="AX118" i="2"/>
  <c r="AX119" i="2"/>
  <c r="AX122" i="2"/>
  <c r="H116" i="2"/>
  <c r="H135" i="2"/>
  <c r="J135" i="2" s="1"/>
  <c r="H119" i="2"/>
  <c r="H118" i="2"/>
  <c r="H132" i="2"/>
  <c r="H127" i="2"/>
  <c r="H121" i="2"/>
  <c r="H131" i="2"/>
  <c r="H130" i="2"/>
  <c r="H115" i="2"/>
  <c r="H122" i="2"/>
  <c r="H124" i="2"/>
  <c r="H125" i="2"/>
  <c r="H128" i="2"/>
  <c r="H120" i="2"/>
  <c r="H133" i="2"/>
  <c r="H129" i="2"/>
  <c r="H134" i="2"/>
  <c r="J134" i="2" s="1"/>
  <c r="H117" i="2"/>
  <c r="H123" i="2"/>
  <c r="H126" i="2"/>
  <c r="AO133" i="2"/>
  <c r="AO128" i="2"/>
  <c r="AO118" i="2"/>
  <c r="AO134" i="2"/>
  <c r="AQ134" i="2" s="1"/>
  <c r="AO126" i="2"/>
  <c r="AO124" i="2"/>
  <c r="AO122" i="2"/>
  <c r="AO115" i="2"/>
  <c r="AO130" i="2"/>
  <c r="AO127" i="2"/>
  <c r="AO117" i="2"/>
  <c r="AO120" i="2"/>
  <c r="AO121" i="2"/>
  <c r="AO131" i="2"/>
  <c r="AO129" i="2"/>
  <c r="AO123" i="2"/>
  <c r="AO125" i="2"/>
  <c r="AO116" i="2"/>
  <c r="AO119" i="2"/>
  <c r="AO135" i="2"/>
  <c r="AQ135" i="2" s="1"/>
  <c r="AO132" i="2"/>
  <c r="AX5" i="4"/>
  <c r="AZ5" i="4" s="1"/>
  <c r="J77" i="4"/>
  <c r="AZ78" i="4"/>
  <c r="K76" i="4"/>
  <c r="BI76" i="4"/>
  <c r="BA7" i="4" s="1"/>
  <c r="BC7" i="4" s="1"/>
  <c r="BH78" i="4"/>
  <c r="K77" i="4"/>
  <c r="BI77" i="4"/>
  <c r="BA5" i="4" s="1"/>
  <c r="BC5" i="4" s="1"/>
  <c r="AX7" i="4"/>
  <c r="AZ7" i="4" s="1"/>
  <c r="J76" i="4"/>
  <c r="BF134" i="2"/>
  <c r="AF157" i="2"/>
  <c r="Q157" i="2"/>
  <c r="AR157" i="2"/>
  <c r="T157" i="2"/>
  <c r="AX157" i="2"/>
  <c r="BA157" i="2"/>
  <c r="AC157" i="2"/>
  <c r="E157" i="2"/>
  <c r="BX29" i="2"/>
  <c r="BZ29" i="2" s="1"/>
  <c r="BT29" i="2"/>
  <c r="AW77" i="4"/>
  <c r="AV77" i="4"/>
  <c r="BD30" i="2"/>
  <c r="AU77" i="4"/>
  <c r="I77" i="4"/>
  <c r="P37" i="4" s="1"/>
  <c r="AE130" i="2" l="1"/>
  <c r="AE153" i="2" s="1"/>
  <c r="AC153" i="2"/>
  <c r="AW133" i="2"/>
  <c r="AW156" i="2" s="1"/>
  <c r="AU156" i="2"/>
  <c r="K145" i="2"/>
  <c r="M122" i="2"/>
  <c r="M145" i="2" s="1"/>
  <c r="AH118" i="2"/>
  <c r="AH141" i="2" s="1"/>
  <c r="AF141" i="2"/>
  <c r="BJ118" i="2"/>
  <c r="BG118" i="2"/>
  <c r="BI118" i="2" s="1"/>
  <c r="D118" i="2"/>
  <c r="BM118" i="2"/>
  <c r="B141" i="2"/>
  <c r="H141" i="2"/>
  <c r="J118" i="2"/>
  <c r="J141" i="2" s="1"/>
  <c r="S133" i="2"/>
  <c r="S156" i="2" s="1"/>
  <c r="Q156" i="2"/>
  <c r="G127" i="2"/>
  <c r="G150" i="2" s="1"/>
  <c r="E150" i="2"/>
  <c r="BA155" i="2"/>
  <c r="BC132" i="2"/>
  <c r="BC155" i="2" s="1"/>
  <c r="AE124" i="2"/>
  <c r="AE147" i="2" s="1"/>
  <c r="AC147" i="2"/>
  <c r="S130" i="2"/>
  <c r="S153" i="2" s="1"/>
  <c r="Q153" i="2"/>
  <c r="K155" i="2"/>
  <c r="M132" i="2"/>
  <c r="M155" i="2" s="1"/>
  <c r="AF145" i="2"/>
  <c r="AH122" i="2"/>
  <c r="AH145" i="2" s="1"/>
  <c r="BG117" i="2"/>
  <c r="BI117" i="2" s="1"/>
  <c r="BJ117" i="2"/>
  <c r="BM117" i="2"/>
  <c r="D117" i="2"/>
  <c r="B140" i="2"/>
  <c r="AQ133" i="2"/>
  <c r="AQ156" i="2" s="1"/>
  <c r="AO156" i="2"/>
  <c r="BC124" i="2"/>
  <c r="BC147" i="2" s="1"/>
  <c r="BA147" i="2"/>
  <c r="H149" i="2"/>
  <c r="J126" i="2"/>
  <c r="J149" i="2" s="1"/>
  <c r="W151" i="2"/>
  <c r="Y128" i="2"/>
  <c r="Y151" i="2" s="1"/>
  <c r="AB127" i="2"/>
  <c r="AB150" i="2" s="1"/>
  <c r="Z150" i="2"/>
  <c r="BA146" i="2"/>
  <c r="BC123" i="2"/>
  <c r="BC146" i="2" s="1"/>
  <c r="H146" i="2"/>
  <c r="J123" i="2"/>
  <c r="J146" i="2" s="1"/>
  <c r="Q150" i="2"/>
  <c r="S127" i="2"/>
  <c r="S150" i="2" s="1"/>
  <c r="AB132" i="2"/>
  <c r="AB155" i="2" s="1"/>
  <c r="Z155" i="2"/>
  <c r="E149" i="2"/>
  <c r="G126" i="2"/>
  <c r="G149" i="2" s="1"/>
  <c r="W154" i="2"/>
  <c r="Y131" i="2"/>
  <c r="Y154" i="2" s="1"/>
  <c r="Q148" i="2"/>
  <c r="S125" i="2"/>
  <c r="S148" i="2" s="1"/>
  <c r="Z153" i="2"/>
  <c r="AB130" i="2"/>
  <c r="AB153" i="2" s="1"/>
  <c r="K152" i="2"/>
  <c r="M129" i="2"/>
  <c r="M152" i="2" s="1"/>
  <c r="AH133" i="2"/>
  <c r="AH156" i="2" s="1"/>
  <c r="AF156" i="2"/>
  <c r="BG120" i="2"/>
  <c r="BI120" i="2" s="1"/>
  <c r="B143" i="2"/>
  <c r="BM120" i="2"/>
  <c r="D120" i="2"/>
  <c r="BJ120" i="2"/>
  <c r="Z157" i="2"/>
  <c r="AE125" i="2"/>
  <c r="AE148" i="2" s="1"/>
  <c r="AC148" i="2"/>
  <c r="S115" i="2"/>
  <c r="S138" i="2" s="1"/>
  <c r="Q138" i="2"/>
  <c r="AB117" i="2"/>
  <c r="AB140" i="2" s="1"/>
  <c r="Z140" i="2"/>
  <c r="E140" i="2"/>
  <c r="G117" i="2"/>
  <c r="G140" i="2" s="1"/>
  <c r="BC118" i="2"/>
  <c r="BC141" i="2" s="1"/>
  <c r="BA141" i="2"/>
  <c r="H152" i="2"/>
  <c r="J129" i="2"/>
  <c r="J152" i="2" s="1"/>
  <c r="AE129" i="2"/>
  <c r="AE152" i="2" s="1"/>
  <c r="AC152" i="2"/>
  <c r="AW128" i="2"/>
  <c r="AW151" i="2" s="1"/>
  <c r="AU151" i="2"/>
  <c r="K153" i="2"/>
  <c r="M130" i="2"/>
  <c r="M153" i="2" s="1"/>
  <c r="G128" i="2"/>
  <c r="G151" i="2" s="1"/>
  <c r="E151" i="2"/>
  <c r="AH125" i="2"/>
  <c r="AH148" i="2" s="1"/>
  <c r="AF148" i="2"/>
  <c r="V120" i="2"/>
  <c r="V143" i="2" s="1"/>
  <c r="T143" i="2"/>
  <c r="AZ126" i="2"/>
  <c r="AZ149" i="2" s="1"/>
  <c r="AX149" i="2"/>
  <c r="Y125" i="2"/>
  <c r="Y148" i="2" s="1"/>
  <c r="W148" i="2"/>
  <c r="AW121" i="2"/>
  <c r="AW144" i="2" s="1"/>
  <c r="AU144" i="2"/>
  <c r="AB119" i="2"/>
  <c r="AB142" i="2" s="1"/>
  <c r="Z142" i="2"/>
  <c r="E141" i="2"/>
  <c r="G118" i="2"/>
  <c r="G141" i="2" s="1"/>
  <c r="BA139" i="2"/>
  <c r="BC116" i="2"/>
  <c r="BC139" i="2" s="1"/>
  <c r="J120" i="2"/>
  <c r="J143" i="2" s="1"/>
  <c r="H143" i="2"/>
  <c r="M133" i="2"/>
  <c r="M156" i="2" s="1"/>
  <c r="K156" i="2"/>
  <c r="G130" i="2"/>
  <c r="G153" i="2" s="1"/>
  <c r="E153" i="2"/>
  <c r="BC131" i="2"/>
  <c r="BC154" i="2" s="1"/>
  <c r="BA154" i="2"/>
  <c r="AC146" i="2"/>
  <c r="AE123" i="2"/>
  <c r="AE146" i="2" s="1"/>
  <c r="S116" i="2"/>
  <c r="S139" i="2" s="1"/>
  <c r="Q139" i="2"/>
  <c r="AB115" i="2"/>
  <c r="AB138" i="2" s="1"/>
  <c r="AB161" i="2" s="1"/>
  <c r="Z138" i="2"/>
  <c r="Z161" i="2" s="1"/>
  <c r="E152" i="2"/>
  <c r="G129" i="2"/>
  <c r="G152" i="2" s="1"/>
  <c r="AF144" i="2"/>
  <c r="AH121" i="2"/>
  <c r="AH144" i="2" s="1"/>
  <c r="B156" i="2"/>
  <c r="D133" i="2"/>
  <c r="BM133" i="2"/>
  <c r="BG133" i="2"/>
  <c r="BI133" i="2" s="1"/>
  <c r="BJ133" i="2"/>
  <c r="AQ120" i="2"/>
  <c r="AQ143" i="2" s="1"/>
  <c r="AO143" i="2"/>
  <c r="Y124" i="2"/>
  <c r="Y147" i="2" s="1"/>
  <c r="W147" i="2"/>
  <c r="AU140" i="2"/>
  <c r="AW117" i="2"/>
  <c r="AW140" i="2" s="1"/>
  <c r="M121" i="2"/>
  <c r="M144" i="2" s="1"/>
  <c r="K144" i="2"/>
  <c r="AH131" i="2"/>
  <c r="AH154" i="2" s="1"/>
  <c r="AF154" i="2"/>
  <c r="B139" i="2"/>
  <c r="BJ116" i="2"/>
  <c r="BM116" i="2"/>
  <c r="BG116" i="2"/>
  <c r="BI116" i="2" s="1"/>
  <c r="D116" i="2"/>
  <c r="J124" i="2"/>
  <c r="J147" i="2" s="1"/>
  <c r="H147" i="2"/>
  <c r="W149" i="2"/>
  <c r="Y126" i="2"/>
  <c r="Y149" i="2" s="1"/>
  <c r="AW122" i="2"/>
  <c r="AW145" i="2" s="1"/>
  <c r="AU145" i="2"/>
  <c r="M120" i="2"/>
  <c r="M143" i="2" s="1"/>
  <c r="K143" i="2"/>
  <c r="AH124" i="2"/>
  <c r="AH147" i="2" s="1"/>
  <c r="AF147" i="2"/>
  <c r="T148" i="2"/>
  <c r="V125" i="2"/>
  <c r="V148" i="2" s="1"/>
  <c r="AT119" i="2"/>
  <c r="AT142" i="2" s="1"/>
  <c r="AR142" i="2"/>
  <c r="B148" i="2"/>
  <c r="BG125" i="2"/>
  <c r="BI125" i="2" s="1"/>
  <c r="BM125" i="2"/>
  <c r="D125" i="2"/>
  <c r="BJ125" i="2"/>
  <c r="J122" i="2"/>
  <c r="J145" i="2" s="1"/>
  <c r="H145" i="2"/>
  <c r="AZ125" i="2"/>
  <c r="AZ148" i="2" s="1"/>
  <c r="AX148" i="2"/>
  <c r="AC138" i="2"/>
  <c r="AC161" i="2" s="1"/>
  <c r="AE115" i="2"/>
  <c r="AE138" i="2" s="1"/>
  <c r="AE161" i="2" s="1"/>
  <c r="Y133" i="2"/>
  <c r="Y156" i="2" s="1"/>
  <c r="W156" i="2"/>
  <c r="Q143" i="2"/>
  <c r="S120" i="2"/>
  <c r="S143" i="2" s="1"/>
  <c r="AW120" i="2"/>
  <c r="AW143" i="2" s="1"/>
  <c r="AU143" i="2"/>
  <c r="AB133" i="2"/>
  <c r="AB156" i="2" s="1"/>
  <c r="Z156" i="2"/>
  <c r="K146" i="2"/>
  <c r="M123" i="2"/>
  <c r="M146" i="2" s="1"/>
  <c r="E145" i="2"/>
  <c r="G122" i="2"/>
  <c r="G145" i="2" s="1"/>
  <c r="V131" i="2"/>
  <c r="V154" i="2" s="1"/>
  <c r="T154" i="2"/>
  <c r="P121" i="2"/>
  <c r="P144" i="2" s="1"/>
  <c r="N144" i="2"/>
  <c r="AI151" i="2"/>
  <c r="AK128" i="2"/>
  <c r="AK151" i="2" s="1"/>
  <c r="D122" i="2"/>
  <c r="BM122" i="2"/>
  <c r="BH64" i="4" s="1"/>
  <c r="BG122" i="2"/>
  <c r="BI122" i="2" s="1"/>
  <c r="BJ122" i="2"/>
  <c r="B145" i="2"/>
  <c r="BC129" i="2"/>
  <c r="BC152" i="2" s="1"/>
  <c r="BA152" i="2"/>
  <c r="S132" i="2"/>
  <c r="S155" i="2" s="1"/>
  <c r="Q155" i="2"/>
  <c r="G119" i="2"/>
  <c r="G142" i="2" s="1"/>
  <c r="E142" i="2"/>
  <c r="BC125" i="2"/>
  <c r="BC148" i="2" s="1"/>
  <c r="BA148" i="2"/>
  <c r="AQ118" i="2"/>
  <c r="AQ141" i="2" s="1"/>
  <c r="AO141" i="2"/>
  <c r="AE120" i="2"/>
  <c r="AE143" i="2" s="1"/>
  <c r="AC143" i="2"/>
  <c r="K141" i="2"/>
  <c r="M118" i="2"/>
  <c r="M141" i="2" s="1"/>
  <c r="AH130" i="2"/>
  <c r="AH153" i="2" s="1"/>
  <c r="AF153" i="2"/>
  <c r="B153" i="2"/>
  <c r="BG130" i="2"/>
  <c r="BI130" i="2" s="1"/>
  <c r="D130" i="2"/>
  <c r="BJ130" i="2"/>
  <c r="BM130" i="2"/>
  <c r="Y127" i="2"/>
  <c r="Y150" i="2" s="1"/>
  <c r="W150" i="2"/>
  <c r="AW115" i="2"/>
  <c r="AW138" i="2" s="1"/>
  <c r="AW161" i="2" s="1"/>
  <c r="AU138" i="2"/>
  <c r="AU161" i="2" s="1"/>
  <c r="AB124" i="2"/>
  <c r="AB147" i="2" s="1"/>
  <c r="Z147" i="2"/>
  <c r="E146" i="2"/>
  <c r="G123" i="2"/>
  <c r="G146" i="2" s="1"/>
  <c r="BC130" i="2"/>
  <c r="BC153" i="2" s="1"/>
  <c r="BA153" i="2"/>
  <c r="AQ132" i="2"/>
  <c r="AQ155" i="2" s="1"/>
  <c r="AO155" i="2"/>
  <c r="AE119" i="2"/>
  <c r="AE142" i="2" s="1"/>
  <c r="AC142" i="2"/>
  <c r="AW131" i="2"/>
  <c r="AW154" i="2" s="1"/>
  <c r="AU154" i="2"/>
  <c r="M126" i="2"/>
  <c r="M149" i="2" s="1"/>
  <c r="K149" i="2"/>
  <c r="D129" i="2"/>
  <c r="BM129" i="2"/>
  <c r="B152" i="2"/>
  <c r="BJ129" i="2"/>
  <c r="BG129" i="2"/>
  <c r="BI129" i="2" s="1"/>
  <c r="AZ121" i="2"/>
  <c r="AZ144" i="2" s="1"/>
  <c r="AX144" i="2"/>
  <c r="Q141" i="2"/>
  <c r="S118" i="2"/>
  <c r="S141" i="2" s="1"/>
  <c r="AW132" i="2"/>
  <c r="AW155" i="2" s="1"/>
  <c r="AU155" i="2"/>
  <c r="M117" i="2"/>
  <c r="M140" i="2" s="1"/>
  <c r="K140" i="2"/>
  <c r="AF150" i="2"/>
  <c r="AH127" i="2"/>
  <c r="AH150" i="2" s="1"/>
  <c r="BJ132" i="2"/>
  <c r="BG132" i="2"/>
  <c r="BI132" i="2" s="1"/>
  <c r="BM132" i="2"/>
  <c r="D132" i="2"/>
  <c r="B155" i="2"/>
  <c r="M127" i="2"/>
  <c r="M150" i="2" s="1"/>
  <c r="K150" i="2"/>
  <c r="AH126" i="2"/>
  <c r="AH149" i="2" s="1"/>
  <c r="AF149" i="2"/>
  <c r="BA142" i="2"/>
  <c r="BC119" i="2"/>
  <c r="BC142" i="2" s="1"/>
  <c r="H140" i="2"/>
  <c r="J117" i="2"/>
  <c r="J140" i="2" s="1"/>
  <c r="Y132" i="2"/>
  <c r="Y155" i="2" s="1"/>
  <c r="W155" i="2"/>
  <c r="AW126" i="2"/>
  <c r="AW149" i="2" s="1"/>
  <c r="AU149" i="2"/>
  <c r="E144" i="2"/>
  <c r="G121" i="2"/>
  <c r="G144" i="2" s="1"/>
  <c r="AQ125" i="2"/>
  <c r="AQ148" i="2" s="1"/>
  <c r="AO148" i="2"/>
  <c r="S124" i="2"/>
  <c r="S147" i="2" s="1"/>
  <c r="Q147" i="2"/>
  <c r="AW123" i="2"/>
  <c r="AW146" i="2" s="1"/>
  <c r="AU146" i="2"/>
  <c r="M128" i="2"/>
  <c r="M151" i="2" s="1"/>
  <c r="K151" i="2"/>
  <c r="AH129" i="2"/>
  <c r="AH152" i="2" s="1"/>
  <c r="AF152" i="2"/>
  <c r="BG126" i="2"/>
  <c r="BI126" i="2" s="1"/>
  <c r="D126" i="2"/>
  <c r="BM126" i="2"/>
  <c r="BJ126" i="2"/>
  <c r="B149" i="2"/>
  <c r="AZ129" i="2"/>
  <c r="AZ152" i="2" s="1"/>
  <c r="AX152" i="2"/>
  <c r="AW130" i="2"/>
  <c r="AW153" i="2" s="1"/>
  <c r="AU153" i="2"/>
  <c r="P119" i="2"/>
  <c r="P142" i="2" s="1"/>
  <c r="N142" i="2"/>
  <c r="AC151" i="2"/>
  <c r="AE128" i="2"/>
  <c r="AE151" i="2" s="1"/>
  <c r="Q146" i="2"/>
  <c r="S123" i="2"/>
  <c r="S146" i="2" s="1"/>
  <c r="Z144" i="2"/>
  <c r="AB121" i="2"/>
  <c r="AB144" i="2" s="1"/>
  <c r="AH132" i="2"/>
  <c r="AH155" i="2" s="1"/>
  <c r="AF155" i="2"/>
  <c r="BM124" i="2"/>
  <c r="BG124" i="2"/>
  <c r="BI124" i="2" s="1"/>
  <c r="BJ124" i="2"/>
  <c r="B147" i="2"/>
  <c r="D124" i="2"/>
  <c r="AX151" i="2"/>
  <c r="AZ128" i="2"/>
  <c r="AZ151" i="2" s="1"/>
  <c r="Z152" i="2"/>
  <c r="AB129" i="2"/>
  <c r="AB152" i="2" s="1"/>
  <c r="AH117" i="2"/>
  <c r="AH140" i="2" s="1"/>
  <c r="AF140" i="2"/>
  <c r="D134" i="2"/>
  <c r="BG134" i="2"/>
  <c r="BI134" i="2" s="1"/>
  <c r="BJ134" i="2"/>
  <c r="BM134" i="2"/>
  <c r="AX140" i="2"/>
  <c r="AZ117" i="2"/>
  <c r="AZ140" i="2" s="1"/>
  <c r="W140" i="2"/>
  <c r="Y117" i="2"/>
  <c r="Y140" i="2" s="1"/>
  <c r="AU150" i="2"/>
  <c r="AW127" i="2"/>
  <c r="AW150" i="2" s="1"/>
  <c r="K148" i="2"/>
  <c r="M125" i="2"/>
  <c r="M148" i="2" s="1"/>
  <c r="E139" i="2"/>
  <c r="G116" i="2"/>
  <c r="G139" i="2" s="1"/>
  <c r="BC128" i="2"/>
  <c r="BC151" i="2" s="1"/>
  <c r="BA151" i="2"/>
  <c r="AE126" i="2"/>
  <c r="AE149" i="2" s="1"/>
  <c r="AC149" i="2"/>
  <c r="Q154" i="2"/>
  <c r="S131" i="2"/>
  <c r="S154" i="2" s="1"/>
  <c r="AB131" i="2"/>
  <c r="AB154" i="2" s="1"/>
  <c r="Z154" i="2"/>
  <c r="E138" i="2"/>
  <c r="G115" i="2"/>
  <c r="G138" i="2" s="1"/>
  <c r="AH123" i="2"/>
  <c r="AH146" i="2" s="1"/>
  <c r="AF146" i="2"/>
  <c r="V126" i="2"/>
  <c r="V149" i="2" s="1"/>
  <c r="T149" i="2"/>
  <c r="AT117" i="2"/>
  <c r="AT140" i="2" s="1"/>
  <c r="AR140" i="2"/>
  <c r="K157" i="2"/>
  <c r="AX139" i="2"/>
  <c r="AX161" i="2" s="1"/>
  <c r="AZ116" i="2"/>
  <c r="AZ139" i="2" s="1"/>
  <c r="AZ161" i="2" s="1"/>
  <c r="S129" i="2"/>
  <c r="S152" i="2" s="1"/>
  <c r="Q152" i="2"/>
  <c r="Z141" i="2"/>
  <c r="AB118" i="2"/>
  <c r="AB141" i="2" s="1"/>
  <c r="G133" i="2"/>
  <c r="G156" i="2" s="1"/>
  <c r="E156" i="2"/>
  <c r="T139" i="2"/>
  <c r="V116" i="2"/>
  <c r="V139" i="2" s="1"/>
  <c r="P133" i="2"/>
  <c r="P156" i="2" s="1"/>
  <c r="N156" i="2"/>
  <c r="AK121" i="2"/>
  <c r="AK144" i="2" s="1"/>
  <c r="AI144" i="2"/>
  <c r="BC120" i="2"/>
  <c r="BC143" i="2" s="1"/>
  <c r="BA143" i="2"/>
  <c r="AO150" i="2"/>
  <c r="AQ127" i="2"/>
  <c r="AQ150" i="2" s="1"/>
  <c r="AI157" i="2"/>
  <c r="AQ130" i="2"/>
  <c r="AQ153" i="2" s="1"/>
  <c r="AO153" i="2"/>
  <c r="H138" i="2"/>
  <c r="H161" i="2" s="1"/>
  <c r="J115" i="2"/>
  <c r="J138" i="2" s="1"/>
  <c r="J161" i="2" s="1"/>
  <c r="AZ132" i="2"/>
  <c r="AZ155" i="2" s="1"/>
  <c r="AX155" i="2"/>
  <c r="AE117" i="2"/>
  <c r="AE140" i="2" s="1"/>
  <c r="AC140" i="2"/>
  <c r="Y123" i="2"/>
  <c r="Y146" i="2" s="1"/>
  <c r="W146" i="2"/>
  <c r="S119" i="2"/>
  <c r="S142" i="2" s="1"/>
  <c r="Q142" i="2"/>
  <c r="AU148" i="2"/>
  <c r="AW125" i="2"/>
  <c r="AW148" i="2" s="1"/>
  <c r="AB120" i="2"/>
  <c r="AB143" i="2" s="1"/>
  <c r="Z143" i="2"/>
  <c r="M115" i="2"/>
  <c r="M138" i="2" s="1"/>
  <c r="M161" i="2" s="1"/>
  <c r="K138" i="2"/>
  <c r="K161" i="2" s="1"/>
  <c r="G132" i="2"/>
  <c r="G155" i="2" s="1"/>
  <c r="E155" i="2"/>
  <c r="AH128" i="2"/>
  <c r="AH151" i="2" s="1"/>
  <c r="AF151" i="2"/>
  <c r="T144" i="2"/>
  <c r="V121" i="2"/>
  <c r="V144" i="2" s="1"/>
  <c r="P117" i="2"/>
  <c r="P140" i="2" s="1"/>
  <c r="N140" i="2"/>
  <c r="AR139" i="2"/>
  <c r="AT116" i="2"/>
  <c r="AT139" i="2" s="1"/>
  <c r="AT133" i="2"/>
  <c r="AT156" i="2" s="1"/>
  <c r="AR156" i="2"/>
  <c r="AI154" i="2"/>
  <c r="AK131" i="2"/>
  <c r="AK154" i="2" s="1"/>
  <c r="BJ127" i="2"/>
  <c r="B150" i="2"/>
  <c r="BM127" i="2"/>
  <c r="D127" i="2"/>
  <c r="BG127" i="2"/>
  <c r="BI127" i="2" s="1"/>
  <c r="BA138" i="2"/>
  <c r="BC115" i="2"/>
  <c r="BC138" i="2" s="1"/>
  <c r="AI152" i="2"/>
  <c r="AK129" i="2"/>
  <c r="AK152" i="2" s="1"/>
  <c r="AX150" i="2"/>
  <c r="AZ127" i="2"/>
  <c r="AZ150" i="2" s="1"/>
  <c r="T152" i="2"/>
  <c r="V129" i="2"/>
  <c r="V152" i="2" s="1"/>
  <c r="J119" i="2"/>
  <c r="J142" i="2" s="1"/>
  <c r="H142" i="2"/>
  <c r="AT130" i="2"/>
  <c r="AT153" i="2" s="1"/>
  <c r="AR153" i="2"/>
  <c r="Y118" i="2"/>
  <c r="Y141" i="2" s="1"/>
  <c r="W141" i="2"/>
  <c r="AT121" i="2"/>
  <c r="AT144" i="2" s="1"/>
  <c r="AR144" i="2"/>
  <c r="AC150" i="2"/>
  <c r="AE127" i="2"/>
  <c r="AE150" i="2" s="1"/>
  <c r="AK133" i="2"/>
  <c r="AK156" i="2" s="1"/>
  <c r="AI156" i="2"/>
  <c r="AO139" i="2"/>
  <c r="AQ116" i="2"/>
  <c r="AQ139" i="2" s="1"/>
  <c r="V130" i="2"/>
  <c r="V153" i="2" s="1"/>
  <c r="T153" i="2"/>
  <c r="N151" i="2"/>
  <c r="P128" i="2"/>
  <c r="P151" i="2" s="1"/>
  <c r="T146" i="2"/>
  <c r="V123" i="2"/>
  <c r="V146" i="2" s="1"/>
  <c r="AE116" i="2"/>
  <c r="AE139" i="2" s="1"/>
  <c r="AC139" i="2"/>
  <c r="AI138" i="2"/>
  <c r="AK115" i="2"/>
  <c r="AK138" i="2" s="1"/>
  <c r="W157" i="2"/>
  <c r="N145" i="2"/>
  <c r="P122" i="2"/>
  <c r="P145" i="2" s="1"/>
  <c r="AO157" i="2"/>
  <c r="AX146" i="2"/>
  <c r="AZ123" i="2"/>
  <c r="AZ146" i="2" s="1"/>
  <c r="N138" i="2"/>
  <c r="N161" i="2" s="1"/>
  <c r="P115" i="2"/>
  <c r="P138" i="2" s="1"/>
  <c r="AQ117" i="2"/>
  <c r="AQ140" i="2" s="1"/>
  <c r="AO140" i="2"/>
  <c r="AU157" i="2"/>
  <c r="AQ115" i="2"/>
  <c r="AQ138" i="2" s="1"/>
  <c r="AQ161" i="2" s="1"/>
  <c r="AO138" i="2"/>
  <c r="AO161" i="2" s="1"/>
  <c r="J130" i="2"/>
  <c r="J153" i="2" s="1"/>
  <c r="H153" i="2"/>
  <c r="AX143" i="2"/>
  <c r="AZ120" i="2"/>
  <c r="AZ143" i="2" s="1"/>
  <c r="AE133" i="2"/>
  <c r="AE156" i="2" s="1"/>
  <c r="AC156" i="2"/>
  <c r="W144" i="2"/>
  <c r="Y121" i="2"/>
  <c r="Y144" i="2" s="1"/>
  <c r="Q151" i="2"/>
  <c r="S128" i="2"/>
  <c r="S151" i="2" s="1"/>
  <c r="AU147" i="2"/>
  <c r="AW124" i="2"/>
  <c r="AW147" i="2" s="1"/>
  <c r="Z146" i="2"/>
  <c r="AB123" i="2"/>
  <c r="AB146" i="2" s="1"/>
  <c r="M119" i="2"/>
  <c r="M142" i="2" s="1"/>
  <c r="K142" i="2"/>
  <c r="E148" i="2"/>
  <c r="G125" i="2"/>
  <c r="G148" i="2" s="1"/>
  <c r="AF138" i="2"/>
  <c r="AF161" i="2" s="1"/>
  <c r="AH115" i="2"/>
  <c r="AH138" i="2" s="1"/>
  <c r="AH161" i="2" s="1"/>
  <c r="N155" i="2"/>
  <c r="P132" i="2"/>
  <c r="P155" i="2" s="1"/>
  <c r="AT124" i="2"/>
  <c r="AT147" i="2" s="1"/>
  <c r="AR147" i="2"/>
  <c r="AK116" i="2"/>
  <c r="AK139" i="2" s="1"/>
  <c r="AI139" i="2"/>
  <c r="AK127" i="2"/>
  <c r="AK150" i="2" s="1"/>
  <c r="AI150" i="2"/>
  <c r="D128" i="2"/>
  <c r="BG128" i="2"/>
  <c r="BI128" i="2" s="1"/>
  <c r="BM128" i="2"/>
  <c r="BJ128" i="2"/>
  <c r="B151" i="2"/>
  <c r="BA150" i="2"/>
  <c r="BC127" i="2"/>
  <c r="BC150" i="2" s="1"/>
  <c r="AZ124" i="2"/>
  <c r="AZ147" i="2" s="1"/>
  <c r="AX147" i="2"/>
  <c r="AU142" i="2"/>
  <c r="AW119" i="2"/>
  <c r="AW142" i="2" s="1"/>
  <c r="AR154" i="2"/>
  <c r="AT131" i="2"/>
  <c r="AT154" i="2" s="1"/>
  <c r="AQ128" i="2"/>
  <c r="AQ151" i="2" s="1"/>
  <c r="AO151" i="2"/>
  <c r="AK123" i="2"/>
  <c r="AK146" i="2" s="1"/>
  <c r="AI146" i="2"/>
  <c r="AC155" i="2"/>
  <c r="AE132" i="2"/>
  <c r="AE155" i="2" s="1"/>
  <c r="AR145" i="2"/>
  <c r="AT122" i="2"/>
  <c r="AT145" i="2" s="1"/>
  <c r="AX145" i="2"/>
  <c r="AZ122" i="2"/>
  <c r="AZ145" i="2" s="1"/>
  <c r="AT126" i="2"/>
  <c r="AT149" i="2" s="1"/>
  <c r="AR149" i="2"/>
  <c r="P130" i="2"/>
  <c r="P153" i="2" s="1"/>
  <c r="N153" i="2"/>
  <c r="AX141" i="2"/>
  <c r="AZ118" i="2"/>
  <c r="AZ141" i="2" s="1"/>
  <c r="V118" i="2"/>
  <c r="V141" i="2" s="1"/>
  <c r="T141" i="2"/>
  <c r="Y119" i="2"/>
  <c r="Y142" i="2" s="1"/>
  <c r="W142" i="2"/>
  <c r="BG121" i="2"/>
  <c r="BI121" i="2" s="1"/>
  <c r="BM121" i="2"/>
  <c r="D121" i="2"/>
  <c r="B144" i="2"/>
  <c r="BJ121" i="2"/>
  <c r="AO152" i="2"/>
  <c r="AQ129" i="2"/>
  <c r="AQ152" i="2" s="1"/>
  <c r="N139" i="2"/>
  <c r="P116" i="2"/>
  <c r="P139" i="2" s="1"/>
  <c r="AO154" i="2"/>
  <c r="AQ131" i="2"/>
  <c r="AQ154" i="2" s="1"/>
  <c r="T140" i="2"/>
  <c r="V117" i="2"/>
  <c r="V140" i="2" s="1"/>
  <c r="AK125" i="2"/>
  <c r="AK148" i="2" s="1"/>
  <c r="AI148" i="2"/>
  <c r="J125" i="2"/>
  <c r="J148" i="2" s="1"/>
  <c r="H148" i="2"/>
  <c r="H157" i="2"/>
  <c r="AO145" i="2"/>
  <c r="AQ122" i="2"/>
  <c r="AQ145" i="2" s="1"/>
  <c r="J131" i="2"/>
  <c r="J154" i="2" s="1"/>
  <c r="H154" i="2"/>
  <c r="AE118" i="2"/>
  <c r="AE141" i="2" s="1"/>
  <c r="AC141" i="2"/>
  <c r="W138" i="2"/>
  <c r="Y115" i="2"/>
  <c r="Y138" i="2" s="1"/>
  <c r="AW129" i="2"/>
  <c r="AW152" i="2" s="1"/>
  <c r="AU152" i="2"/>
  <c r="AB125" i="2"/>
  <c r="AB148" i="2" s="1"/>
  <c r="Z148" i="2"/>
  <c r="K139" i="2"/>
  <c r="M116" i="2"/>
  <c r="M139" i="2" s="1"/>
  <c r="G131" i="2"/>
  <c r="G154" i="2" s="1"/>
  <c r="E154" i="2"/>
  <c r="AH119" i="2"/>
  <c r="AH142" i="2" s="1"/>
  <c r="AF142" i="2"/>
  <c r="V127" i="2"/>
  <c r="V150" i="2" s="1"/>
  <c r="T150" i="2"/>
  <c r="P131" i="2"/>
  <c r="P154" i="2" s="1"/>
  <c r="N154" i="2"/>
  <c r="AR152" i="2"/>
  <c r="AT129" i="2"/>
  <c r="AT152" i="2" s="1"/>
  <c r="AK126" i="2"/>
  <c r="AK149" i="2" s="1"/>
  <c r="AI149" i="2"/>
  <c r="BG135" i="2"/>
  <c r="D135" i="2"/>
  <c r="BJ135" i="2"/>
  <c r="BM135" i="2"/>
  <c r="BJ115" i="2"/>
  <c r="D115" i="2"/>
  <c r="BG115" i="2"/>
  <c r="BI115" i="2" s="1"/>
  <c r="BM115" i="2"/>
  <c r="B138" i="2"/>
  <c r="BC121" i="2"/>
  <c r="BC144" i="2" s="1"/>
  <c r="BA144" i="2"/>
  <c r="T142" i="2"/>
  <c r="V119" i="2"/>
  <c r="V142" i="2" s="1"/>
  <c r="AB126" i="2"/>
  <c r="AB149" i="2" s="1"/>
  <c r="Z149" i="2"/>
  <c r="P123" i="2"/>
  <c r="P146" i="2" s="1"/>
  <c r="N146" i="2"/>
  <c r="AZ131" i="2"/>
  <c r="AZ154" i="2" s="1"/>
  <c r="AX154" i="2"/>
  <c r="P126" i="2"/>
  <c r="P149" i="2" s="1"/>
  <c r="N149" i="2"/>
  <c r="AZ133" i="2"/>
  <c r="AZ156" i="2" s="1"/>
  <c r="AX156" i="2"/>
  <c r="V122" i="2"/>
  <c r="V145" i="2" s="1"/>
  <c r="T145" i="2"/>
  <c r="J116" i="2"/>
  <c r="J139" i="2" s="1"/>
  <c r="H139" i="2"/>
  <c r="AI140" i="2"/>
  <c r="AK117" i="2"/>
  <c r="AK140" i="2" s="1"/>
  <c r="AQ119" i="2"/>
  <c r="AQ142" i="2" s="1"/>
  <c r="AO142" i="2"/>
  <c r="V133" i="2"/>
  <c r="V156" i="2" s="1"/>
  <c r="T156" i="2"/>
  <c r="AX142" i="2"/>
  <c r="AZ119" i="2"/>
  <c r="AZ142" i="2" s="1"/>
  <c r="AR151" i="2"/>
  <c r="AT128" i="2"/>
  <c r="AT151" i="2" s="1"/>
  <c r="AK124" i="2"/>
  <c r="AK147" i="2" s="1"/>
  <c r="AI147" i="2"/>
  <c r="Q140" i="2"/>
  <c r="S117" i="2"/>
  <c r="S140" i="2" s="1"/>
  <c r="AR143" i="2"/>
  <c r="AT120" i="2"/>
  <c r="AT143" i="2" s="1"/>
  <c r="J133" i="2"/>
  <c r="J156" i="2" s="1"/>
  <c r="H156" i="2"/>
  <c r="AT132" i="2"/>
  <c r="AT155" i="2" s="1"/>
  <c r="AR155" i="2"/>
  <c r="W143" i="2"/>
  <c r="Y120" i="2"/>
  <c r="Y143" i="2" s="1"/>
  <c r="AT115" i="2"/>
  <c r="AT138" i="2" s="1"/>
  <c r="AR138" i="2"/>
  <c r="H151" i="2"/>
  <c r="J128" i="2"/>
  <c r="J151" i="2" s="1"/>
  <c r="T147" i="2"/>
  <c r="V124" i="2"/>
  <c r="V147" i="2" s="1"/>
  <c r="BC122" i="2"/>
  <c r="BC145" i="2" s="1"/>
  <c r="BA145" i="2"/>
  <c r="N157" i="2"/>
  <c r="BM157" i="2" s="1"/>
  <c r="AO147" i="2"/>
  <c r="AQ124" i="2"/>
  <c r="AQ147" i="2" s="1"/>
  <c r="H144" i="2"/>
  <c r="J121" i="2"/>
  <c r="J144" i="2" s="1"/>
  <c r="AX153" i="2"/>
  <c r="AZ130" i="2"/>
  <c r="AZ153" i="2" s="1"/>
  <c r="AE121" i="2"/>
  <c r="AE144" i="2" s="1"/>
  <c r="AC144" i="2"/>
  <c r="W152" i="2"/>
  <c r="Y129" i="2"/>
  <c r="Y152" i="2" s="1"/>
  <c r="Q145" i="2"/>
  <c r="S122" i="2"/>
  <c r="S145" i="2" s="1"/>
  <c r="AW116" i="2"/>
  <c r="AW139" i="2" s="1"/>
  <c r="AU139" i="2"/>
  <c r="AB122" i="2"/>
  <c r="AB145" i="2" s="1"/>
  <c r="Z145" i="2"/>
  <c r="M124" i="2"/>
  <c r="M147" i="2" s="1"/>
  <c r="K147" i="2"/>
  <c r="G120" i="2"/>
  <c r="G143" i="2" s="1"/>
  <c r="E143" i="2"/>
  <c r="AH116" i="2"/>
  <c r="AH139" i="2" s="1"/>
  <c r="AF139" i="2"/>
  <c r="T155" i="2"/>
  <c r="V132" i="2"/>
  <c r="V155" i="2" s="1"/>
  <c r="N143" i="2"/>
  <c r="P120" i="2"/>
  <c r="P143" i="2" s="1"/>
  <c r="AT123" i="2"/>
  <c r="AT146" i="2" s="1"/>
  <c r="AR146" i="2"/>
  <c r="AI145" i="2"/>
  <c r="AK122" i="2"/>
  <c r="AK145" i="2" s="1"/>
  <c r="D119" i="2"/>
  <c r="B142" i="2"/>
  <c r="BJ119" i="2"/>
  <c r="BG119" i="2"/>
  <c r="BI119" i="2" s="1"/>
  <c r="BM119" i="2"/>
  <c r="BJ131" i="2"/>
  <c r="BG131" i="2"/>
  <c r="BI131" i="2" s="1"/>
  <c r="BM131" i="2"/>
  <c r="D131" i="2"/>
  <c r="B154" i="2"/>
  <c r="BC133" i="2"/>
  <c r="BC156" i="2" s="1"/>
  <c r="BA156" i="2"/>
  <c r="J132" i="2"/>
  <c r="J155" i="2" s="1"/>
  <c r="H155" i="2"/>
  <c r="N147" i="2"/>
  <c r="P124" i="2"/>
  <c r="P147" i="2" s="1"/>
  <c r="Y116" i="2"/>
  <c r="Y139" i="2" s="1"/>
  <c r="W139" i="2"/>
  <c r="AK118" i="2"/>
  <c r="AK141" i="2" s="1"/>
  <c r="AI141" i="2"/>
  <c r="T138" i="2"/>
  <c r="T161" i="2" s="1"/>
  <c r="V115" i="2"/>
  <c r="V138" i="2" s="1"/>
  <c r="V161" i="2" s="1"/>
  <c r="N150" i="2"/>
  <c r="P127" i="2"/>
  <c r="P150" i="2" s="1"/>
  <c r="AC154" i="2"/>
  <c r="AE131" i="2"/>
  <c r="AE154" i="2" s="1"/>
  <c r="P129" i="2"/>
  <c r="P152" i="2" s="1"/>
  <c r="N152" i="2"/>
  <c r="AK120" i="2"/>
  <c r="AK143" i="2" s="1"/>
  <c r="AI143" i="2"/>
  <c r="Y122" i="2"/>
  <c r="Y145" i="2" s="1"/>
  <c r="W145" i="2"/>
  <c r="AR150" i="2"/>
  <c r="AT127" i="2"/>
  <c r="AT150" i="2" s="1"/>
  <c r="AQ123" i="2"/>
  <c r="AQ146" i="2" s="1"/>
  <c r="AO146" i="2"/>
  <c r="AB128" i="2"/>
  <c r="AB151" i="2" s="1"/>
  <c r="Z151" i="2"/>
  <c r="AK130" i="2"/>
  <c r="AK153" i="2" s="1"/>
  <c r="AI153" i="2"/>
  <c r="Q144" i="2"/>
  <c r="S121" i="2"/>
  <c r="S144" i="2" s="1"/>
  <c r="N148" i="2"/>
  <c r="P125" i="2"/>
  <c r="P148" i="2" s="1"/>
  <c r="AQ121" i="2"/>
  <c r="AQ144" i="2" s="1"/>
  <c r="AO144" i="2"/>
  <c r="AT125" i="2"/>
  <c r="AT148" i="2" s="1"/>
  <c r="AR148" i="2"/>
  <c r="AI155" i="2"/>
  <c r="AK132" i="2"/>
  <c r="AK155" i="2" s="1"/>
  <c r="AQ126" i="2"/>
  <c r="AQ149" i="2" s="1"/>
  <c r="AO149" i="2"/>
  <c r="J127" i="2"/>
  <c r="J150" i="2" s="1"/>
  <c r="H150" i="2"/>
  <c r="AE122" i="2"/>
  <c r="AE145" i="2" s="1"/>
  <c r="AC145" i="2"/>
  <c r="Y130" i="2"/>
  <c r="Y153" i="2" s="1"/>
  <c r="W153" i="2"/>
  <c r="S126" i="2"/>
  <c r="S149" i="2" s="1"/>
  <c r="Q149" i="2"/>
  <c r="AU141" i="2"/>
  <c r="AW118" i="2"/>
  <c r="AW141" i="2" s="1"/>
  <c r="Z139" i="2"/>
  <c r="AB116" i="2"/>
  <c r="AB139" i="2" s="1"/>
  <c r="M131" i="2"/>
  <c r="M154" i="2" s="1"/>
  <c r="K154" i="2"/>
  <c r="G124" i="2"/>
  <c r="G147" i="2" s="1"/>
  <c r="E147" i="2"/>
  <c r="AF143" i="2"/>
  <c r="AH120" i="2"/>
  <c r="AH143" i="2" s="1"/>
  <c r="T151" i="2"/>
  <c r="V128" i="2"/>
  <c r="V151" i="2" s="1"/>
  <c r="P118" i="2"/>
  <c r="P141" i="2" s="1"/>
  <c r="N141" i="2"/>
  <c r="AR141" i="2"/>
  <c r="AT118" i="2"/>
  <c r="AT141" i="2" s="1"/>
  <c r="AI142" i="2"/>
  <c r="AK119" i="2"/>
  <c r="AK142" i="2" s="1"/>
  <c r="D123" i="2"/>
  <c r="BM123" i="2"/>
  <c r="BJ123" i="2"/>
  <c r="BG123" i="2"/>
  <c r="BI123" i="2" s="1"/>
  <c r="B146" i="2"/>
  <c r="BA149" i="2"/>
  <c r="BC126" i="2"/>
  <c r="BC149" i="2" s="1"/>
  <c r="BC117" i="2"/>
  <c r="BC140" i="2" s="1"/>
  <c r="BA140" i="2"/>
  <c r="Q39" i="4"/>
  <c r="Q41" i="4"/>
  <c r="Q45" i="4"/>
  <c r="Q38" i="4"/>
  <c r="Q37" i="4"/>
  <c r="Q44" i="4"/>
  <c r="Q46" i="4"/>
  <c r="Q43" i="4"/>
  <c r="Q42" i="4"/>
  <c r="Q47" i="4"/>
  <c r="Q40" i="4"/>
  <c r="R46" i="4"/>
  <c r="R38" i="4"/>
  <c r="R40" i="4"/>
  <c r="R47" i="4"/>
  <c r="R37" i="4"/>
  <c r="R45" i="4"/>
  <c r="R43" i="4"/>
  <c r="R41" i="4"/>
  <c r="R42" i="4"/>
  <c r="R39" i="4"/>
  <c r="R44" i="4"/>
  <c r="P39" i="4"/>
  <c r="P40" i="4"/>
  <c r="P43" i="4"/>
  <c r="P42" i="4"/>
  <c r="P38" i="4"/>
  <c r="P41" i="4"/>
  <c r="P44" i="4"/>
  <c r="P47" i="4"/>
  <c r="P45" i="4"/>
  <c r="P46" i="4"/>
  <c r="BD38" i="2"/>
  <c r="BD55" i="2"/>
  <c r="BD37" i="2"/>
  <c r="BD36" i="2"/>
  <c r="BF30" i="2"/>
  <c r="BD135" i="2"/>
  <c r="CA30" i="2"/>
  <c r="CC30" i="2" s="1"/>
  <c r="BD35" i="2"/>
  <c r="BD59" i="2" s="1"/>
  <c r="BU30" i="2"/>
  <c r="BD39" i="2"/>
  <c r="BR30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AX77" i="4"/>
  <c r="AU5" i="4"/>
  <c r="AW5" i="4" s="1"/>
  <c r="AY77" i="4"/>
  <c r="M157" i="2"/>
  <c r="BC157" i="2"/>
  <c r="AZ157" i="2"/>
  <c r="AK157" i="2"/>
  <c r="AB157" i="2"/>
  <c r="AW157" i="2"/>
  <c r="G157" i="2"/>
  <c r="S157" i="2"/>
  <c r="P157" i="2"/>
  <c r="AQ157" i="2"/>
  <c r="V157" i="2"/>
  <c r="AE157" i="2"/>
  <c r="J157" i="2"/>
  <c r="AT157" i="2"/>
  <c r="D157" i="2"/>
  <c r="Y157" i="2"/>
  <c r="AH157" i="2"/>
  <c r="BG157" i="2" l="1"/>
  <c r="BM149" i="2"/>
  <c r="BJ149" i="2"/>
  <c r="BG149" i="2"/>
  <c r="BG139" i="2"/>
  <c r="BM139" i="2"/>
  <c r="BJ139" i="2"/>
  <c r="BJ157" i="2"/>
  <c r="BL131" i="2"/>
  <c r="D154" i="2"/>
  <c r="BO131" i="2"/>
  <c r="BG148" i="2"/>
  <c r="BJ148" i="2"/>
  <c r="BM148" i="2"/>
  <c r="BO126" i="2"/>
  <c r="D149" i="2"/>
  <c r="BL126" i="2"/>
  <c r="BJ152" i="2"/>
  <c r="BM152" i="2"/>
  <c r="BG152" i="2"/>
  <c r="BG140" i="2"/>
  <c r="BM140" i="2"/>
  <c r="BJ140" i="2"/>
  <c r="BA161" i="2"/>
  <c r="BG141" i="2"/>
  <c r="BM141" i="2"/>
  <c r="BJ141" i="2"/>
  <c r="AT161" i="2"/>
  <c r="BO129" i="2"/>
  <c r="BL129" i="2"/>
  <c r="D152" i="2"/>
  <c r="BG145" i="2"/>
  <c r="BJ145" i="2"/>
  <c r="BM145" i="2"/>
  <c r="BL118" i="2"/>
  <c r="BO118" i="2"/>
  <c r="D141" i="2"/>
  <c r="BO115" i="2"/>
  <c r="BL115" i="2"/>
  <c r="D138" i="2"/>
  <c r="E161" i="2"/>
  <c r="BL122" i="2"/>
  <c r="BO122" i="2"/>
  <c r="D145" i="2"/>
  <c r="BL120" i="2"/>
  <c r="D143" i="2"/>
  <c r="BO120" i="2"/>
  <c r="BJ154" i="2"/>
  <c r="BM154" i="2"/>
  <c r="BG154" i="2"/>
  <c r="BM147" i="2"/>
  <c r="BG147" i="2"/>
  <c r="BJ147" i="2"/>
  <c r="AR161" i="2"/>
  <c r="BL117" i="2"/>
  <c r="D140" i="2"/>
  <c r="BO117" i="2"/>
  <c r="P161" i="2"/>
  <c r="BO119" i="2"/>
  <c r="BL119" i="2"/>
  <c r="D142" i="2"/>
  <c r="BJ138" i="2"/>
  <c r="B161" i="2"/>
  <c r="BG138" i="2"/>
  <c r="BM138" i="2"/>
  <c r="BM155" i="2"/>
  <c r="BJ155" i="2"/>
  <c r="BG155" i="2"/>
  <c r="D153" i="2"/>
  <c r="BL130" i="2"/>
  <c r="BO130" i="2"/>
  <c r="BG151" i="2"/>
  <c r="BJ151" i="2"/>
  <c r="BM151" i="2"/>
  <c r="D155" i="2"/>
  <c r="BL132" i="2"/>
  <c r="BO132" i="2"/>
  <c r="BL123" i="2"/>
  <c r="BO123" i="2"/>
  <c r="D146" i="2"/>
  <c r="D151" i="2"/>
  <c r="BL128" i="2"/>
  <c r="BO128" i="2"/>
  <c r="BO134" i="2"/>
  <c r="BL134" i="2"/>
  <c r="BO133" i="2"/>
  <c r="D156" i="2"/>
  <c r="BL133" i="2"/>
  <c r="BM156" i="2"/>
  <c r="BG156" i="2"/>
  <c r="BJ156" i="2"/>
  <c r="Q161" i="2"/>
  <c r="BJ146" i="2"/>
  <c r="BM146" i="2"/>
  <c r="BG146" i="2"/>
  <c r="BG142" i="2"/>
  <c r="BJ142" i="2"/>
  <c r="BM142" i="2"/>
  <c r="G161" i="2"/>
  <c r="BJ153" i="2"/>
  <c r="BM153" i="2"/>
  <c r="BG153" i="2"/>
  <c r="BG143" i="2"/>
  <c r="BJ143" i="2"/>
  <c r="BM143" i="2"/>
  <c r="BL135" i="2"/>
  <c r="BO135" i="2"/>
  <c r="Y161" i="2"/>
  <c r="AK161" i="2"/>
  <c r="BL116" i="2"/>
  <c r="BO116" i="2"/>
  <c r="D139" i="2"/>
  <c r="S161" i="2"/>
  <c r="BI135" i="2"/>
  <c r="BM136" i="2"/>
  <c r="BJ136" i="2"/>
  <c r="W161" i="2"/>
  <c r="AI161" i="2"/>
  <c r="BJ144" i="2"/>
  <c r="BG144" i="2"/>
  <c r="BM144" i="2"/>
  <c r="BO125" i="2"/>
  <c r="D148" i="2"/>
  <c r="BL125" i="2"/>
  <c r="D147" i="2"/>
  <c r="BL124" i="2"/>
  <c r="BO124" i="2"/>
  <c r="BC161" i="2"/>
  <c r="D150" i="2"/>
  <c r="BL127" i="2"/>
  <c r="BO127" i="2"/>
  <c r="BJ150" i="2"/>
  <c r="BG150" i="2"/>
  <c r="BM150" i="2"/>
  <c r="BO121" i="2"/>
  <c r="D144" i="2"/>
  <c r="BL121" i="2"/>
  <c r="BD66" i="2"/>
  <c r="BD69" i="2"/>
  <c r="BD75" i="2"/>
  <c r="BD63" i="2"/>
  <c r="BD67" i="2"/>
  <c r="BD65" i="2"/>
  <c r="BD64" i="2"/>
  <c r="BD71" i="2"/>
  <c r="BD70" i="2"/>
  <c r="BD74" i="2"/>
  <c r="BD78" i="2"/>
  <c r="BD73" i="2"/>
  <c r="BI157" i="2"/>
  <c r="BD76" i="2"/>
  <c r="BD68" i="2"/>
  <c r="BD61" i="2"/>
  <c r="BD60" i="2"/>
  <c r="BD169" i="2" s="1"/>
  <c r="BD174" i="2"/>
  <c r="BD199" i="2"/>
  <c r="BW30" i="2"/>
  <c r="BU32" i="2"/>
  <c r="BW32" i="2" s="1"/>
  <c r="BU33" i="2"/>
  <c r="BW33" i="2" s="1"/>
  <c r="BD77" i="2"/>
  <c r="H158" i="2"/>
  <c r="T158" i="2"/>
  <c r="BF135" i="2"/>
  <c r="N158" i="2"/>
  <c r="K158" i="2"/>
  <c r="B158" i="2"/>
  <c r="AR158" i="2"/>
  <c r="AC158" i="2"/>
  <c r="E158" i="2"/>
  <c r="Q158" i="2"/>
  <c r="W158" i="2"/>
  <c r="Z158" i="2"/>
  <c r="AO158" i="2"/>
  <c r="AU158" i="2"/>
  <c r="AI158" i="2"/>
  <c r="AF158" i="2"/>
  <c r="AX158" i="2"/>
  <c r="AX160" i="2" s="1"/>
  <c r="BA158" i="2"/>
  <c r="BX30" i="2"/>
  <c r="BZ30" i="2" s="1"/>
  <c r="BT30" i="2"/>
  <c r="BR33" i="2"/>
  <c r="BR32" i="2"/>
  <c r="BD79" i="2"/>
  <c r="BL157" i="2"/>
  <c r="BO157" i="2"/>
  <c r="BD72" i="2"/>
  <c r="BD62" i="2"/>
  <c r="BI139" i="2" l="1"/>
  <c r="BO139" i="2"/>
  <c r="BL139" i="2"/>
  <c r="BO154" i="2"/>
  <c r="BI154" i="2"/>
  <c r="BL154" i="2"/>
  <c r="BO150" i="2"/>
  <c r="BI150" i="2"/>
  <c r="BL150" i="2"/>
  <c r="BO153" i="2"/>
  <c r="BI153" i="2"/>
  <c r="BL153" i="2"/>
  <c r="BI151" i="2"/>
  <c r="BL151" i="2"/>
  <c r="BO151" i="2"/>
  <c r="BI144" i="2"/>
  <c r="BL144" i="2"/>
  <c r="BO144" i="2"/>
  <c r="BL152" i="2"/>
  <c r="BO152" i="2"/>
  <c r="BI152" i="2"/>
  <c r="BI147" i="2"/>
  <c r="BL147" i="2"/>
  <c r="BO147" i="2"/>
  <c r="BO146" i="2"/>
  <c r="BL146" i="2"/>
  <c r="BI146" i="2"/>
  <c r="BI149" i="2"/>
  <c r="BL149" i="2"/>
  <c r="BO149" i="2"/>
  <c r="BO145" i="2"/>
  <c r="BL145" i="2"/>
  <c r="BI145" i="2"/>
  <c r="BI155" i="2"/>
  <c r="BO155" i="2"/>
  <c r="BL155" i="2"/>
  <c r="BO156" i="2"/>
  <c r="BL156" i="2"/>
  <c r="BI156" i="2"/>
  <c r="BI142" i="2"/>
  <c r="BO142" i="2"/>
  <c r="BL142" i="2"/>
  <c r="BI138" i="2"/>
  <c r="BO138" i="2"/>
  <c r="D161" i="2"/>
  <c r="BL138" i="2"/>
  <c r="BI141" i="2"/>
  <c r="BO141" i="2"/>
  <c r="BL141" i="2"/>
  <c r="BL140" i="2"/>
  <c r="BI140" i="2"/>
  <c r="BO140" i="2"/>
  <c r="BL143" i="2"/>
  <c r="BI143" i="2"/>
  <c r="BO143" i="2"/>
  <c r="BI148" i="2"/>
  <c r="BO148" i="2"/>
  <c r="BL148" i="2"/>
  <c r="BM161" i="2"/>
  <c r="BJ161" i="2"/>
  <c r="BD191" i="2"/>
  <c r="BD176" i="2"/>
  <c r="BD184" i="2"/>
  <c r="BD96" i="2"/>
  <c r="BD189" i="2"/>
  <c r="BD179" i="2"/>
  <c r="BD170" i="2"/>
  <c r="BD103" i="2"/>
  <c r="BD194" i="2"/>
  <c r="BD88" i="2"/>
  <c r="BD102" i="2"/>
  <c r="BD97" i="2"/>
  <c r="BD101" i="2"/>
  <c r="BD98" i="2"/>
  <c r="BD99" i="2"/>
  <c r="BD92" i="2"/>
  <c r="BD195" i="2"/>
  <c r="BD93" i="2"/>
  <c r="BD90" i="2"/>
  <c r="BD100" i="2"/>
  <c r="BD171" i="2"/>
  <c r="BD89" i="2"/>
  <c r="BD201" i="2"/>
  <c r="BD175" i="2"/>
  <c r="BD91" i="2"/>
  <c r="BD95" i="2"/>
  <c r="BD94" i="2"/>
  <c r="AR163" i="2"/>
  <c r="AR160" i="2"/>
  <c r="E160" i="2"/>
  <c r="E163" i="2"/>
  <c r="BM158" i="2"/>
  <c r="BJ158" i="2"/>
  <c r="BG158" i="2"/>
  <c r="B163" i="2"/>
  <c r="B160" i="2"/>
  <c r="BD205" i="2"/>
  <c r="AI160" i="2"/>
  <c r="AI163" i="2"/>
  <c r="BD206" i="2"/>
  <c r="BX33" i="2"/>
  <c r="BZ33" i="2" s="1"/>
  <c r="BT33" i="2"/>
  <c r="K163" i="2"/>
  <c r="K160" i="2"/>
  <c r="BA160" i="2"/>
  <c r="BA163" i="2"/>
  <c r="AU160" i="2"/>
  <c r="AU163" i="2"/>
  <c r="AO163" i="2"/>
  <c r="AO160" i="2"/>
  <c r="Q160" i="2"/>
  <c r="Q163" i="2"/>
  <c r="N160" i="2"/>
  <c r="N163" i="2"/>
  <c r="AF160" i="2"/>
  <c r="AF163" i="2"/>
  <c r="AE158" i="2"/>
  <c r="AW158" i="2"/>
  <c r="BC158" i="2"/>
  <c r="AH158" i="2"/>
  <c r="G158" i="2"/>
  <c r="AQ158" i="2"/>
  <c r="AZ158" i="2"/>
  <c r="AZ160" i="2" s="1"/>
  <c r="D158" i="2"/>
  <c r="P158" i="2"/>
  <c r="AB158" i="2"/>
  <c r="V158" i="2"/>
  <c r="AT158" i="2"/>
  <c r="M158" i="2"/>
  <c r="AK158" i="2"/>
  <c r="S158" i="2"/>
  <c r="J158" i="2"/>
  <c r="Y158" i="2"/>
  <c r="BD190" i="2"/>
  <c r="W160" i="2"/>
  <c r="W163" i="2"/>
  <c r="AC160" i="2"/>
  <c r="AC163" i="2"/>
  <c r="Z163" i="2"/>
  <c r="Z160" i="2"/>
  <c r="BX32" i="2"/>
  <c r="BZ32" i="2" s="1"/>
  <c r="BT32" i="2"/>
  <c r="BD180" i="2"/>
  <c r="BD185" i="2"/>
  <c r="BD196" i="2"/>
  <c r="BD200" i="2"/>
  <c r="T160" i="2"/>
  <c r="T163" i="2"/>
  <c r="H163" i="2"/>
  <c r="H160" i="2"/>
  <c r="BD186" i="2"/>
  <c r="BD181" i="2"/>
  <c r="BD202" i="2"/>
  <c r="BO161" i="2" l="1"/>
  <c r="BL161" i="2"/>
  <c r="BD105" i="2"/>
  <c r="BI158" i="2"/>
  <c r="BD107" i="2"/>
  <c r="G160" i="2"/>
  <c r="G163" i="2"/>
  <c r="BD109" i="2"/>
  <c r="AH163" i="2"/>
  <c r="AH160" i="2"/>
  <c r="AE160" i="2"/>
  <c r="AE163" i="2"/>
  <c r="BM163" i="2"/>
  <c r="BJ163" i="2"/>
  <c r="BO158" i="2"/>
  <c r="BL158" i="2"/>
  <c r="D163" i="2"/>
  <c r="D160" i="2"/>
  <c r="BM160" i="2"/>
  <c r="BJ160" i="2"/>
  <c r="AW163" i="2"/>
  <c r="AW160" i="2"/>
  <c r="M163" i="2"/>
  <c r="M160" i="2"/>
  <c r="BD104" i="2"/>
  <c r="Y163" i="2"/>
  <c r="Y160" i="2"/>
  <c r="AQ160" i="2"/>
  <c r="AQ163" i="2"/>
  <c r="BC160" i="2"/>
  <c r="BC163" i="2"/>
  <c r="J160" i="2"/>
  <c r="J163" i="2"/>
  <c r="S163" i="2"/>
  <c r="S160" i="2"/>
  <c r="AK160" i="2"/>
  <c r="AK163" i="2"/>
  <c r="AT160" i="2"/>
  <c r="AT163" i="2"/>
  <c r="V160" i="2"/>
  <c r="V163" i="2"/>
  <c r="AB160" i="2"/>
  <c r="AB163" i="2"/>
  <c r="P163" i="2"/>
  <c r="P160" i="2"/>
  <c r="BD111" i="2" l="1"/>
  <c r="BL160" i="2"/>
  <c r="BO160" i="2"/>
  <c r="BL163" i="2"/>
  <c r="BO16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Gernot</author>
  </authors>
  <commentList>
    <comment ref="AY61" authorId="0" shapeId="0" xr:uid="{B550EC9F-B4FD-4F50-A3E5-2663D3E485A3}">
      <text>
        <r>
          <rPr>
            <b/>
            <sz val="9"/>
            <color indexed="81"/>
            <rFont val="Segoe UI"/>
            <family val="2"/>
          </rPr>
          <t>Gernot:</t>
        </r>
        <r>
          <rPr>
            <sz val="9"/>
            <color indexed="81"/>
            <rFont val="Segoe UI"/>
            <family val="2"/>
          </rPr>
          <t xml:space="preserve">
bis hier weniger als 5 Tage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HdA-Zentrale</author>
  </authors>
  <commentList>
    <comment ref="W58" authorId="0" shapeId="0" xr:uid="{21877980-5F83-4F72-B3D9-AFCECF84B24D}">
      <text>
        <r>
          <rPr>
            <b/>
            <sz val="9"/>
            <color indexed="81"/>
            <rFont val="Segoe UI"/>
            <family val="2"/>
          </rPr>
          <t>HdA-Zentrale:</t>
        </r>
        <r>
          <rPr>
            <sz val="9"/>
            <color indexed="81"/>
            <rFont val="Segoe UI"/>
            <family val="2"/>
          </rPr>
          <t xml:space="preserve">
Was ist dir das Crowdfunding-Paket wert?
(inkl. Steuer)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HdA-Zentrale</author>
  </authors>
  <commentList>
    <comment ref="AQ18" authorId="0" shapeId="0" xr:uid="{9A6BD4FF-6761-4E27-A0C0-DFC813F6E18B}">
      <text>
        <r>
          <rPr>
            <b/>
            <sz val="9"/>
            <color indexed="81"/>
            <rFont val="Segoe UI"/>
            <family val="2"/>
          </rPr>
          <t>HdA-Zentrale:</t>
        </r>
        <r>
          <rPr>
            <sz val="9"/>
            <color indexed="81"/>
            <rFont val="Segoe UI"/>
            <family val="2"/>
          </rPr>
          <t xml:space="preserve">
Zusatzprodukt "Portrait"!</t>
        </r>
      </text>
    </comment>
  </commentList>
</comments>
</file>

<file path=xl/sharedStrings.xml><?xml version="1.0" encoding="utf-8"?>
<sst xmlns="http://schemas.openxmlformats.org/spreadsheetml/2006/main" count="2854" uniqueCount="690">
  <si>
    <t>↓</t>
  </si>
  <si>
    <t>Format</t>
  </si>
  <si>
    <t>µ</t>
  </si>
  <si>
    <t>-</t>
  </si>
  <si>
    <t>Deine Kosten</t>
  </si>
  <si>
    <t>Deine Ersparnis</t>
  </si>
  <si>
    <t>Deine zusätzlichen Produkte</t>
  </si>
  <si>
    <t>x</t>
  </si>
  <si>
    <t>Preis als
Zusatz-produkt</t>
  </si>
  <si>
    <t>Datum</t>
  </si>
  <si>
    <t>Backer</t>
  </si>
  <si>
    <t>€</t>
  </si>
  <si>
    <t>erreichte Ziele</t>
  </si>
  <si>
    <t>nächste Stufe</t>
  </si>
  <si>
    <t>1.</t>
  </si>
  <si>
    <t>2.</t>
  </si>
  <si>
    <t>5.</t>
  </si>
  <si>
    <t>3.</t>
  </si>
  <si>
    <t>7.</t>
  </si>
  <si>
    <t>10.</t>
  </si>
  <si>
    <t>9.</t>
  </si>
  <si>
    <t>11.</t>
  </si>
  <si>
    <t>13.</t>
  </si>
  <si>
    <t>15.</t>
  </si>
  <si>
    <t>Tag</t>
  </si>
  <si>
    <t>Wochentag</t>
  </si>
  <si>
    <t>Timecode</t>
  </si>
  <si>
    <t>Uhrzeit</t>
  </si>
  <si>
    <t>h ges.</t>
  </si>
  <si>
    <t>h Diff.</t>
  </si>
  <si>
    <t>€ ges. Ist</t>
  </si>
  <si>
    <t>Abw.</t>
  </si>
  <si>
    <t>€ Diff.</t>
  </si>
  <si>
    <t>Backer ges.</t>
  </si>
  <si>
    <t>€/Backer</t>
  </si>
  <si>
    <t>€/Tag ges.</t>
  </si>
  <si>
    <t>Backer Diff.</t>
  </si>
  <si>
    <t>Schnitt l. 5 Tage</t>
  </si>
  <si>
    <t>€/Backer NEU</t>
  </si>
  <si>
    <t>Tag 1 mal X</t>
  </si>
  <si>
    <t>Werkzeuge (€)</t>
  </si>
  <si>
    <t>Werkzeuge (Backer)</t>
  </si>
  <si>
    <t>B</t>
  </si>
  <si>
    <t>Stand Ist/HR</t>
  </si>
  <si>
    <t>Anmerkungen</t>
  </si>
  <si>
    <t>Summe</t>
  </si>
  <si>
    <t>4.</t>
  </si>
  <si>
    <t>6.</t>
  </si>
  <si>
    <t>8.</t>
  </si>
  <si>
    <t>12.</t>
  </si>
  <si>
    <t>14.</t>
  </si>
  <si>
    <t>16.</t>
  </si>
  <si>
    <t>17.</t>
  </si>
  <si>
    <t>18.</t>
  </si>
  <si>
    <t>20.</t>
  </si>
  <si>
    <t>21.</t>
  </si>
  <si>
    <t>19.</t>
  </si>
  <si>
    <t>Mythen (€)</t>
  </si>
  <si>
    <t>Mythen (Backer)</t>
  </si>
  <si>
    <t>Tag 1</t>
  </si>
  <si>
    <t>Tag 2</t>
  </si>
  <si>
    <t>Kalkulation min.</t>
  </si>
  <si>
    <t>Kalkulation max.</t>
  </si>
  <si>
    <t>€ ges.</t>
  </si>
  <si>
    <t>Prognose</t>
  </si>
  <si>
    <t>Tag 3</t>
  </si>
  <si>
    <t>Schnitt</t>
  </si>
  <si>
    <t>PDF</t>
  </si>
  <si>
    <t>MP AML (€)</t>
  </si>
  <si>
    <t>MP AML (B)</t>
  </si>
  <si>
    <t>SOK (€)</t>
  </si>
  <si>
    <t>SOK (Backer)</t>
  </si>
  <si>
    <t>Tag 4</t>
  </si>
  <si>
    <t>Tag 5</t>
  </si>
  <si>
    <t>Tag 6</t>
  </si>
  <si>
    <t>Tag 7</t>
  </si>
  <si>
    <t>UVP-Preis
im ebook-Shop</t>
  </si>
  <si>
    <t>RE (€)</t>
  </si>
  <si>
    <t>RE (Backer)</t>
  </si>
  <si>
    <t>MP SOK (€)</t>
  </si>
  <si>
    <t>MP SOK (B)</t>
  </si>
  <si>
    <t>Rohals Erben</t>
  </si>
  <si>
    <t>In %</t>
  </si>
  <si>
    <t>Dein Gesamtrabatt</t>
  </si>
  <si>
    <t>Kauf nach CF</t>
  </si>
  <si>
    <r>
      <rPr>
        <b/>
        <u/>
        <sz val="14"/>
        <color theme="1"/>
        <rFont val="Book Antiqua"/>
        <family val="1"/>
      </rPr>
      <t>Digitale/Sonstige</t>
    </r>
    <r>
      <rPr>
        <b/>
        <sz val="14"/>
        <color theme="1"/>
        <rFont val="Book Antiqua"/>
        <family val="1"/>
      </rPr>
      <t xml:space="preserve"> Produkte des Crowdfundings</t>
    </r>
    <r>
      <rPr>
        <b/>
        <sz val="11"/>
        <color rgb="FFFF0000"/>
        <rFont val="Book Antiqua"/>
        <family val="1"/>
      </rPr>
      <t/>
    </r>
  </si>
  <si>
    <t>Mein Wunschpaket umfasst ("x" setzen)</t>
  </si>
  <si>
    <t>Physische Produkte</t>
  </si>
  <si>
    <t>Digitale Produkte</t>
  </si>
  <si>
    <t>Alle Produkte</t>
  </si>
  <si>
    <t>s.o.</t>
  </si>
  <si>
    <t>DGG (€)</t>
  </si>
  <si>
    <t>MP RE (€)</t>
  </si>
  <si>
    <t>MP RE (B)</t>
  </si>
  <si>
    <t>DGG (Backer)</t>
  </si>
  <si>
    <t>https://hinter-dem-schwarzen-auge.de/links/</t>
  </si>
  <si>
    <t>Prognose min</t>
  </si>
  <si>
    <t>Prognose max</t>
  </si>
  <si>
    <t>€ max.</t>
  </si>
  <si>
    <t>€ min.</t>
  </si>
  <si>
    <t>Backer min.</t>
  </si>
  <si>
    <t>Backer max.</t>
  </si>
  <si>
    <t>Unterstützen kannst Du uns hier:</t>
  </si>
  <si>
    <t>https://hinter-dem-schwarzen-auge.de/support</t>
  </si>
  <si>
    <t>DSK SV (€)</t>
  </si>
  <si>
    <t>DSK SV (Backer)</t>
  </si>
  <si>
    <t>WW (€)</t>
  </si>
  <si>
    <t>WW (Backer)</t>
  </si>
  <si>
    <t>DSK Fasar (€)</t>
  </si>
  <si>
    <t>DSK Fasar (Backer)</t>
  </si>
  <si>
    <t>MP ANB (€)</t>
  </si>
  <si>
    <t>MP ANB (B)</t>
  </si>
  <si>
    <t>MP DSKF (€)</t>
  </si>
  <si>
    <t>MP DSKF (B)</t>
  </si>
  <si>
    <t>MP WdM (€)</t>
  </si>
  <si>
    <t>MP WdM (B)</t>
  </si>
  <si>
    <t>MP DGG (€)</t>
  </si>
  <si>
    <t>MP DGG (B)</t>
  </si>
  <si>
    <t>MP DSKSV (€)</t>
  </si>
  <si>
    <t>MP DSKSV (B)</t>
  </si>
  <si>
    <t>Kauf nach dem CF</t>
  </si>
  <si>
    <t>Min</t>
  </si>
  <si>
    <t>Max</t>
  </si>
  <si>
    <t>DSK Fasar</t>
  </si>
  <si>
    <t>DSK R (Backer)</t>
  </si>
  <si>
    <t>DSK R (€)</t>
  </si>
  <si>
    <t>MP WW (€)</t>
  </si>
  <si>
    <t>MP WW (B)</t>
  </si>
  <si>
    <t>0 €</t>
  </si>
  <si>
    <t>DSK Refurbished</t>
  </si>
  <si>
    <t>Links</t>
  </si>
  <si>
    <t>Zum Crowdfunding kommst du hier (oder mit Klick auf das Bild):</t>
  </si>
  <si>
    <r>
      <t xml:space="preserve">made with </t>
    </r>
    <r>
      <rPr>
        <b/>
        <sz val="10"/>
        <color rgb="FFC00000"/>
        <rFont val="Book Antiqua"/>
        <family val="1"/>
      </rPr>
      <t>Auge</t>
    </r>
    <r>
      <rPr>
        <b/>
        <sz val="10"/>
        <color theme="1"/>
        <rFont val="Book Antiqua"/>
        <family val="1"/>
      </rPr>
      <t xml:space="preserve"> by Hinter dem Schwarzen Auge!</t>
    </r>
  </si>
  <si>
    <t>A1:CQ150</t>
  </si>
  <si>
    <t>1. Schätzung</t>
  </si>
  <si>
    <t>Ära (€)</t>
  </si>
  <si>
    <t>Ära (Backer)</t>
  </si>
  <si>
    <t>MP DSK R (€)</t>
  </si>
  <si>
    <t>MP DSK R (B)</t>
  </si>
  <si>
    <t>Bereits erhältliches Produkt</t>
  </si>
  <si>
    <t>Thorwal</t>
  </si>
  <si>
    <t>Werkzeuge</t>
  </si>
  <si>
    <r>
      <rPr>
        <b/>
        <u/>
        <sz val="14"/>
        <rFont val="Book Antiqua"/>
        <family val="1"/>
      </rPr>
      <t>Physische</t>
    </r>
    <r>
      <rPr>
        <b/>
        <sz val="14"/>
        <rFont val="Book Antiqua"/>
        <family val="1"/>
      </rPr>
      <t xml:space="preserve"> Produkte des Crowdfundings</t>
    </r>
  </si>
  <si>
    <t>Mosaik (€)</t>
  </si>
  <si>
    <t>Mosaik (Backer)</t>
  </si>
  <si>
    <t>MP ÄRA (€)</t>
  </si>
  <si>
    <t>MP ÄRA (B)</t>
  </si>
  <si>
    <t>Tag 8</t>
  </si>
  <si>
    <t>Tag 9</t>
  </si>
  <si>
    <t>Tag 10</t>
  </si>
  <si>
    <t>Tag 11</t>
  </si>
  <si>
    <t>Tag 12</t>
  </si>
  <si>
    <t>Tag 13</t>
  </si>
  <si>
    <t>Tag 14</t>
  </si>
  <si>
    <t>Tag 15</t>
  </si>
  <si>
    <t>Tag 16</t>
  </si>
  <si>
    <t>Tag 17</t>
  </si>
  <si>
    <t>Tag 18</t>
  </si>
  <si>
    <t>Tag 19</t>
  </si>
  <si>
    <t>Tag 20</t>
  </si>
  <si>
    <t>Tag 21</t>
  </si>
  <si>
    <t>Differenz</t>
  </si>
  <si>
    <t>MP ANB</t>
  </si>
  <si>
    <t>MP WdM</t>
  </si>
  <si>
    <t>MP DSKF</t>
  </si>
  <si>
    <t>MP AML</t>
  </si>
  <si>
    <t>MP SOK</t>
  </si>
  <si>
    <t>MP RE</t>
  </si>
  <si>
    <t>MP DGG</t>
  </si>
  <si>
    <t>MP DSKSV</t>
  </si>
  <si>
    <t>MP WW</t>
  </si>
  <si>
    <t>MP DSK R</t>
  </si>
  <si>
    <t>MP ÄRA</t>
  </si>
  <si>
    <t>€ p.P.</t>
  </si>
  <si>
    <t>Hochrechnung aktuelles CF</t>
  </si>
  <si>
    <t>Backer-la.</t>
  </si>
  <si>
    <t>€-lastig</t>
  </si>
  <si>
    <r>
      <t xml:space="preserve">Das kostet </t>
    </r>
    <r>
      <rPr>
        <b/>
        <i/>
        <sz val="10"/>
        <color rgb="FFC00000"/>
        <rFont val="Book Antiqua"/>
        <family val="1"/>
      </rPr>
      <t>dein Wunschpaket</t>
    </r>
    <r>
      <rPr>
        <b/>
        <i/>
        <sz val="10"/>
        <color theme="1"/>
        <rFont val="Book Antiqua"/>
        <family val="1"/>
      </rPr>
      <t>(nach dem Crowdfunding) (voraussichtlich) im F-Shop/ulisses-ebook-Shop</t>
    </r>
  </si>
  <si>
    <t>Bitte setze hier "x" für deine Wunschprodukte</t>
  </si>
  <si>
    <t>Extrema</t>
  </si>
  <si>
    <t>Mittelwert</t>
  </si>
  <si>
    <t>Zielwerte</t>
  </si>
  <si>
    <t>Anteile kumuliert</t>
  </si>
  <si>
    <t>Anteil/Tag</t>
  </si>
  <si>
    <t>Faktor</t>
  </si>
  <si>
    <t>Starkes Finale</t>
  </si>
  <si>
    <t>Schwaches Finale</t>
  </si>
  <si>
    <t>5 Tage</t>
  </si>
  <si>
    <t>6 Tage</t>
  </si>
  <si>
    <t>+ Starkes Finale</t>
  </si>
  <si>
    <t>+ Schwaches Finale</t>
  </si>
  <si>
    <t>Anteil Blöcke</t>
  </si>
  <si>
    <t>Tag 1-7</t>
  </si>
  <si>
    <t>Tag 8-14</t>
  </si>
  <si>
    <t>Tag 15-21</t>
  </si>
  <si>
    <t>Tag 1-3</t>
  </si>
  <si>
    <t>Tag 19-21</t>
  </si>
  <si>
    <t>Tag 4-18</t>
  </si>
  <si>
    <t>Tag 1-2</t>
  </si>
  <si>
    <t>Tag 3-19</t>
  </si>
  <si>
    <t>Tag 20-21</t>
  </si>
  <si>
    <t>UNTER VORBEHALT!</t>
  </si>
  <si>
    <t>GESAMT</t>
  </si>
  <si>
    <t>Tag 1-4</t>
  </si>
  <si>
    <t>Tag 5-16</t>
  </si>
  <si>
    <t>Tag 17-21</t>
  </si>
  <si>
    <t>Tag 4-15</t>
  </si>
  <si>
    <t>Tag 16-21</t>
  </si>
  <si>
    <t>Tag 3-15</t>
  </si>
  <si>
    <t>Erste 2 Tage</t>
  </si>
  <si>
    <t>Letzte 6 Tage</t>
  </si>
  <si>
    <t>Mittlere 13 Tage</t>
  </si>
  <si>
    <t>Letzte 2 Tage</t>
  </si>
  <si>
    <t>Mittlere 17 Tage</t>
  </si>
  <si>
    <t>Erste 3 Tage</t>
  </si>
  <si>
    <t>Letzte 3 Tage</t>
  </si>
  <si>
    <t>Mittlere 15 Tage</t>
  </si>
  <si>
    <t>Mittlere 12 Tage</t>
  </si>
  <si>
    <t>Erste 4 Tage</t>
  </si>
  <si>
    <t>Letzte 4 Tage</t>
  </si>
  <si>
    <t>Erste 7 Tage</t>
  </si>
  <si>
    <t>Mittlere 7 Tage</t>
  </si>
  <si>
    <t>Letzte 7 Tage</t>
  </si>
  <si>
    <t>Tag 2-8</t>
  </si>
  <si>
    <t>Tag 9-18</t>
  </si>
  <si>
    <t>Erster Tag</t>
  </si>
  <si>
    <t>Zweite 7 Tage</t>
  </si>
  <si>
    <t>Dritte 10 Tage</t>
  </si>
  <si>
    <t>Aktuelles CF mit Verlauf von…</t>
  </si>
  <si>
    <t>Aktuelle Prognose</t>
  </si>
  <si>
    <t>Alle Links zum Projekt findest du hier (Klick):</t>
  </si>
  <si>
    <t>Prognose (könnte passen, oder auch nicht ;) )</t>
  </si>
  <si>
    <t>Differenzen zu Prognose</t>
  </si>
  <si>
    <t>Standardabweichung</t>
  </si>
  <si>
    <t>Geringste Standardabw.</t>
  </si>
  <si>
    <t>Durchschn. Abw.</t>
  </si>
  <si>
    <t>Höchste Standardabw.</t>
  </si>
  <si>
    <t>Ned (€)</t>
  </si>
  <si>
    <t>Ned (Backer)</t>
  </si>
  <si>
    <t>Ned (€/B)</t>
  </si>
  <si>
    <t>Werkz (€/B)</t>
  </si>
  <si>
    <t>DSK Fasar (€/B)</t>
  </si>
  <si>
    <t>SPERREN &amp; AUSBLENDEN</t>
  </si>
  <si>
    <t>Mosaik der Märchen</t>
  </si>
  <si>
    <t>Mythen (€/B)</t>
  </si>
  <si>
    <t>SOK (€/B)</t>
  </si>
  <si>
    <t>RE (€/B)</t>
  </si>
  <si>
    <t>DGG (€/B)</t>
  </si>
  <si>
    <t>DSK SV (€/B)</t>
  </si>
  <si>
    <t>WW (€/B)</t>
  </si>
  <si>
    <t>DSK R (€/B)</t>
  </si>
  <si>
    <t>Ära (€/B)</t>
  </si>
  <si>
    <t>Mosaik (€/B)</t>
  </si>
  <si>
    <t>DSK ES (€)</t>
  </si>
  <si>
    <t>DSK ES (€/B)</t>
  </si>
  <si>
    <t>DSK ES (Backer)</t>
  </si>
  <si>
    <t>nicht erhältlich</t>
  </si>
  <si>
    <t>Werkzeuge des Meisters</t>
  </si>
  <si>
    <t>DSK - Fasar</t>
  </si>
  <si>
    <t>Aventuria - Mythen &amp; Legenden</t>
  </si>
  <si>
    <t>Aventuria - Nedime &amp; Borbarad</t>
  </si>
  <si>
    <t>Die Sonnenküste</t>
  </si>
  <si>
    <t>Die Gunst der Göttin</t>
  </si>
  <si>
    <t>DSK - Schleichender Verfall</t>
  </si>
  <si>
    <t>DSK - Refurbished</t>
  </si>
  <si>
    <t>Die Winterwacht</t>
  </si>
  <si>
    <t>Die Ära des Goldenen Kaisers</t>
  </si>
  <si>
    <t>MP Mosaik</t>
  </si>
  <si>
    <t>Mittelwert (Min/Max)</t>
  </si>
  <si>
    <t>Schnitt (Faktor)</t>
  </si>
  <si>
    <t>Faktor l. 5 Tage</t>
  </si>
  <si>
    <t>Faktor l. 6 Tage</t>
  </si>
  <si>
    <t>Ist-Verläufe</t>
  </si>
  <si>
    <t>&gt;2/3</t>
  </si>
  <si>
    <t>&gt;2/4</t>
  </si>
  <si>
    <t>&gt;1/3</t>
  </si>
  <si>
    <t>&gt;1/4</t>
  </si>
  <si>
    <t>&gt;3/4</t>
  </si>
  <si>
    <t>Std.abw.</t>
  </si>
  <si>
    <t>Sehr gleichmäßig</t>
  </si>
  <si>
    <t>Flacher Start</t>
  </si>
  <si>
    <t>Std.abw</t>
  </si>
  <si>
    <t>Konstant</t>
  </si>
  <si>
    <t>Faktor l. 3 Tage</t>
  </si>
  <si>
    <t>3 Tage</t>
  </si>
  <si>
    <t>Anteil Restlaufzeit - NUR FÜR 1. PROGNOSE!</t>
  </si>
  <si>
    <t>Die Echsensümpfe</t>
  </si>
  <si>
    <t>ES (€)</t>
  </si>
  <si>
    <t>ES (Backer)</t>
  </si>
  <si>
    <t>ES (€/B)</t>
  </si>
  <si>
    <t>ohne DSK ES</t>
  </si>
  <si>
    <t>Diff.</t>
  </si>
  <si>
    <t>DSK Ewige Suche</t>
  </si>
  <si>
    <t>Tsa-Vademecum</t>
  </si>
  <si>
    <t>Hesinde-Vademecum</t>
  </si>
  <si>
    <r>
      <t xml:space="preserve">XXX </t>
    </r>
    <r>
      <rPr>
        <b/>
        <sz val="10"/>
        <color rgb="FF00B050"/>
        <rFont val="Book Antiqua"/>
        <family val="1"/>
      </rPr>
      <t>(exklusiv im Crowdfunding!)</t>
    </r>
  </si>
  <si>
    <t>XXX</t>
  </si>
  <si>
    <t>Sonnen-küste</t>
  </si>
  <si>
    <t>Winter-wacht</t>
  </si>
  <si>
    <t>DSK Schleich-ender Verfall</t>
  </si>
  <si>
    <t>Ära des Goldenen Kaisers</t>
  </si>
  <si>
    <t>Gunst der Göttin</t>
  </si>
  <si>
    <t>Status</t>
  </si>
  <si>
    <t>Schwelle</t>
  </si>
  <si>
    <t>Ziel-Name</t>
  </si>
  <si>
    <t>Prognose Zielerreichung</t>
  </si>
  <si>
    <t>Ziel-Nr.</t>
  </si>
  <si>
    <t>Akt. HR</t>
  </si>
  <si>
    <t>DSK - Ewige Suche</t>
  </si>
  <si>
    <t>Der Wolfsfrost</t>
  </si>
  <si>
    <t>WF (€)</t>
  </si>
  <si>
    <t>WF(Backer)</t>
  </si>
  <si>
    <t>Echsen-sümpfe</t>
  </si>
  <si>
    <t>MP DSK ES</t>
  </si>
  <si>
    <t>MP ES</t>
  </si>
  <si>
    <t>nicht berücksichtigt</t>
  </si>
  <si>
    <t>Kein Paket (Einzelkauf)</t>
  </si>
  <si>
    <t>Format/Material</t>
  </si>
  <si>
    <t>Einzelkauf</t>
  </si>
  <si>
    <t>Starttag</t>
  </si>
  <si>
    <t>Aktuelles Datum</t>
  </si>
  <si>
    <t>Wolfsfrost</t>
  </si>
  <si>
    <t>AVENTURIA
Mythen &amp; Legenden</t>
  </si>
  <si>
    <t>AVENTURIA
Nedime &amp; Borbarad</t>
  </si>
  <si>
    <t>/</t>
  </si>
  <si>
    <t>Karten</t>
  </si>
  <si>
    <t>MP WF</t>
  </si>
  <si>
    <t>Helden</t>
  </si>
  <si>
    <t>Aben-teuer</t>
  </si>
  <si>
    <t>190+90</t>
  </si>
  <si>
    <t>Erweiterung des Boxinhalts</t>
  </si>
  <si>
    <t>Teil der Box - Nicht als Einzelprodukt erhältlich!</t>
  </si>
  <si>
    <r>
      <rPr>
        <b/>
        <sz val="10"/>
        <color rgb="FFFF0000"/>
        <rFont val="Book Antiqua"/>
        <family val="1"/>
      </rPr>
      <t>vermutl.</t>
    </r>
    <r>
      <rPr>
        <b/>
        <sz val="10"/>
        <color theme="1"/>
        <rFont val="Book Antiqua"/>
        <family val="1"/>
      </rPr>
      <t xml:space="preserve">
UVP-Preis (brutto)
im F-Shop</t>
    </r>
  </si>
  <si>
    <t>Sammlung von Bonuszielen</t>
  </si>
  <si>
    <t>Inhalt des Crowdfunding-Packs</t>
  </si>
  <si>
    <t>Teil des Packs - Nicht als Einzelprodukt erhältlich!</t>
  </si>
  <si>
    <t>+?</t>
  </si>
  <si>
    <t>Akte</t>
  </si>
  <si>
    <t>X</t>
  </si>
  <si>
    <t>Aventuria - Kelche der Macht</t>
  </si>
  <si>
    <t>AKM (€)</t>
  </si>
  <si>
    <t>AKM(Backer)</t>
  </si>
  <si>
    <t>AKM (€/B)</t>
  </si>
  <si>
    <t>WF (€/B)</t>
  </si>
  <si>
    <t>AKT. CF - FLIESST NOCH NICHT MIT EIN!</t>
  </si>
  <si>
    <t>Normierte Beträge/Zahlen - BERECHNUNG FÜR 1. PROGNOSE</t>
  </si>
  <si>
    <t>AVENTURIA
Stories &amp; Legends</t>
  </si>
  <si>
    <t>Linktree:</t>
  </si>
  <si>
    <t>* Leute, die nicht spielen</t>
  </si>
  <si>
    <t>Wunsch-paket</t>
  </si>
  <si>
    <t>Worst Case</t>
  </si>
  <si>
    <t>Best Case</t>
  </si>
  <si>
    <t>Backer Best Case</t>
  </si>
  <si>
    <t>Backer Worst Case</t>
  </si>
  <si>
    <t>€ Worst Case</t>
  </si>
  <si>
    <t>€ Best Case</t>
  </si>
  <si>
    <t>Steuersatz dein. Landes</t>
  </si>
  <si>
    <t>Bonusinhalte:</t>
  </si>
  <si>
    <t>Boxinhalt</t>
  </si>
  <si>
    <t>Das sind die physischen Bestandteile des jeweiligen Rewards(!) wert</t>
  </si>
  <si>
    <t>Anzahl Unterstützer je Reward</t>
  </si>
  <si>
    <t>Das sind die digitalen Bestandteile des jeweiligen Rewards(!) wert</t>
  </si>
  <si>
    <t>Das sind die physischen &amp; digitalen Bestandteile des jeweiligen Rewards(!) wert</t>
  </si>
  <si>
    <t>Änderung</t>
  </si>
  <si>
    <t>Add-On</t>
  </si>
  <si>
    <t>Add-On; limitiert auf 8 Stück; ausverkauft!</t>
  </si>
  <si>
    <t>Anteil Unterstützer je Reward</t>
  </si>
  <si>
    <r>
      <t xml:space="preserve">Das zahlst du insgesamt für </t>
    </r>
    <r>
      <rPr>
        <b/>
        <i/>
        <sz val="10"/>
        <color rgb="FFC00000"/>
        <rFont val="Book Antiqua"/>
        <family val="1"/>
      </rPr>
      <t>dein Wunschpaket</t>
    </r>
    <r>
      <rPr>
        <b/>
        <sz val="10"/>
        <color theme="1"/>
        <rFont val="Book Antiqua"/>
        <family val="1"/>
      </rPr>
      <t xml:space="preserve"> inkl. der Add-Ons</t>
    </r>
  </si>
  <si>
    <r>
      <t xml:space="preserve">Zur Erinnerung: Das zahlst du insgesamt für </t>
    </r>
    <r>
      <rPr>
        <b/>
        <i/>
        <sz val="10"/>
        <color rgb="FFC00000"/>
        <rFont val="Book Antiqua"/>
        <family val="1"/>
      </rPr>
      <t>dein Wunschpaket</t>
    </r>
    <r>
      <rPr>
        <b/>
        <i/>
        <sz val="10"/>
        <color theme="1"/>
        <rFont val="Book Antiqua"/>
        <family val="1"/>
      </rPr>
      <t xml:space="preserve"> inkl. der Add-Ons</t>
    </r>
  </si>
  <si>
    <t>Erste Hälfte</t>
  </si>
  <si>
    <t>Zweite Hälfte</t>
  </si>
  <si>
    <t>&gt;825</t>
  </si>
  <si>
    <t>55+</t>
  </si>
  <si>
    <t>ohne Ära</t>
  </si>
  <si>
    <t>Steiler Start</t>
  </si>
  <si>
    <t>Preis
netto als
Add-on</t>
  </si>
  <si>
    <t>Preis brutto als
Add-on</t>
  </si>
  <si>
    <r>
      <t xml:space="preserve">Anleitung
für den
Einkaufs-führer 
</t>
    </r>
    <r>
      <rPr>
        <b/>
        <sz val="11"/>
        <rFont val="Book Antiqua"/>
        <family val="1"/>
      </rPr>
      <t>(nächstes Registerblatt)</t>
    </r>
  </si>
  <si>
    <t>Alle Angaben ohne Gewähr!</t>
  </si>
  <si>
    <t>Min.</t>
  </si>
  <si>
    <t>Max.</t>
  </si>
  <si>
    <t>€ Min.</t>
  </si>
  <si>
    <t>Backer Min.</t>
  </si>
  <si>
    <t>€/Backer Min.</t>
  </si>
  <si>
    <t>€ Max.</t>
  </si>
  <si>
    <t>Backer Max.</t>
  </si>
  <si>
    <t>€/Backer Max.</t>
  </si>
  <si>
    <t>+18</t>
  </si>
  <si>
    <t>+12+</t>
  </si>
  <si>
    <t>48+</t>
  </si>
  <si>
    <r>
      <t>Crowdfunding-Pack</t>
    </r>
    <r>
      <rPr>
        <b/>
        <sz val="10"/>
        <color rgb="FF00B050"/>
        <rFont val="Book Antiqua"/>
        <family val="1"/>
      </rPr>
      <t xml:space="preserve"> (Ulisses-exklusiv)</t>
    </r>
  </si>
  <si>
    <r>
      <rPr>
        <b/>
        <sz val="10"/>
        <color rgb="FFFF0000"/>
        <rFont val="Book Antiqua"/>
        <family val="1"/>
      </rPr>
      <t xml:space="preserve">Schätzpreis! </t>
    </r>
    <r>
      <rPr>
        <b/>
        <sz val="10"/>
        <color rgb="FF00B050"/>
        <rFont val="Book Antiqua"/>
        <family val="1"/>
      </rPr>
      <t>Ulisses-exklusiv - nicht im freien Handel</t>
    </r>
  </si>
  <si>
    <t>(Einzelband)</t>
  </si>
  <si>
    <t>(Digital)</t>
  </si>
  <si>
    <t>Lexikon des Schwarzen Auges</t>
  </si>
  <si>
    <t>Lex (€)</t>
  </si>
  <si>
    <t>Lex(Backer)</t>
  </si>
  <si>
    <t>Lex(€/B)</t>
  </si>
  <si>
    <t>Tag 1-8</t>
  </si>
  <si>
    <t>Tag 9-21</t>
  </si>
  <si>
    <t>MP AKM</t>
  </si>
  <si>
    <t>MP AKM (€)</t>
  </si>
  <si>
    <t>MP AKM (B)</t>
  </si>
  <si>
    <t>AVENTURIA
Kelche der Macht</t>
  </si>
  <si>
    <t>Inhalte:</t>
  </si>
  <si>
    <t>Schuberinhalt</t>
  </si>
  <si>
    <t>* Das Lexikon des Schwarzen Auges – Band 1
* Das Lexikon des Schwarzen Auges – Band 2
* Das Lexikon des Schwarzen Auges – Band 3
* Das Lexikon des Schwarzen Auges – Band 4
* Schuber</t>
  </si>
  <si>
    <r>
      <t xml:space="preserve">- XXX </t>
    </r>
    <r>
      <rPr>
        <b/>
        <i/>
        <sz val="10"/>
        <color theme="1"/>
        <rFont val="Book Antiqua"/>
        <family val="1"/>
      </rPr>
      <t>(X. Ziel)</t>
    </r>
  </si>
  <si>
    <t>Schätzpreis, Preis nach CF ist unbekannt</t>
  </si>
  <si>
    <r>
      <t xml:space="preserve">Diesen Rabatt gewährt </t>
    </r>
    <r>
      <rPr>
        <b/>
        <i/>
        <sz val="10"/>
        <color rgb="FFC00000"/>
        <rFont val="Book Antiqua"/>
        <family val="1"/>
      </rPr>
      <t>dein Wunschpaket</t>
    </r>
    <r>
      <rPr>
        <b/>
        <i/>
        <sz val="10"/>
        <color rgb="FFFF0000"/>
        <rFont val="Book Antiqua"/>
        <family val="1"/>
      </rPr>
      <t xml:space="preserve"> </t>
    </r>
    <r>
      <rPr>
        <b/>
        <i/>
        <sz val="10"/>
        <rFont val="Book Antiqua"/>
        <family val="1"/>
      </rPr>
      <t xml:space="preserve">somit gegenüber dem Einkauf </t>
    </r>
    <r>
      <rPr>
        <b/>
        <i/>
        <sz val="10"/>
        <color theme="1"/>
        <rFont val="Book Antiqua"/>
        <family val="1"/>
      </rPr>
      <t>(nach dem CF) im  F-Shop/ulisses-ebook-Shop</t>
    </r>
  </si>
  <si>
    <r>
      <t xml:space="preserve">Zusätzliche Produkte, die du </t>
    </r>
    <r>
      <rPr>
        <b/>
        <i/>
        <sz val="10"/>
        <color rgb="FF0070C0"/>
        <rFont val="Book Antiqua"/>
        <family val="1"/>
      </rPr>
      <t>je Reward</t>
    </r>
    <r>
      <rPr>
        <b/>
        <i/>
        <sz val="10"/>
        <color theme="1"/>
        <rFont val="Book Antiqua"/>
        <family val="1"/>
      </rPr>
      <t xml:space="preserve"> erhältst, und die </t>
    </r>
    <r>
      <rPr>
        <b/>
        <i/>
        <sz val="10"/>
        <color rgb="FFC00000"/>
        <rFont val="Book Antiqua"/>
        <family val="1"/>
      </rPr>
      <t>nicht Teil deines Wunschpakets sind,</t>
    </r>
    <r>
      <rPr>
        <b/>
        <i/>
        <sz val="10"/>
        <color theme="1"/>
        <rFont val="Book Antiqua"/>
        <family val="1"/>
      </rPr>
      <t xml:space="preserve"> haben folgenden Wert</t>
    </r>
  </si>
  <si>
    <r>
      <t xml:space="preserve">Das kostet </t>
    </r>
    <r>
      <rPr>
        <b/>
        <i/>
        <sz val="10"/>
        <color rgb="FFC00000"/>
        <rFont val="Book Antiqua"/>
        <family val="1"/>
      </rPr>
      <t xml:space="preserve">dein Wunschpaket </t>
    </r>
    <r>
      <rPr>
        <b/>
        <i/>
        <sz val="10"/>
        <color rgb="FF0070C0"/>
        <rFont val="Book Antiqua"/>
        <family val="1"/>
      </rPr>
      <t>inkl. zusätzlicher Produkte</t>
    </r>
    <r>
      <rPr>
        <b/>
        <i/>
        <sz val="10"/>
        <color rgb="FFFF0000"/>
        <rFont val="Book Antiqua"/>
        <family val="1"/>
      </rPr>
      <t xml:space="preserve"> </t>
    </r>
    <r>
      <rPr>
        <b/>
        <i/>
        <sz val="10"/>
        <rFont val="Book Antiqua"/>
        <family val="1"/>
      </rPr>
      <t xml:space="preserve">(nach dem CF) im </t>
    </r>
    <r>
      <rPr>
        <b/>
        <i/>
        <sz val="10"/>
        <color theme="1"/>
        <rFont val="Book Antiqua"/>
        <family val="1"/>
      </rPr>
      <t>F-Shop/ulisses-ebook-Shop (voraus.) insg.</t>
    </r>
  </si>
  <si>
    <r>
      <t>Gesamtrabatt deines</t>
    </r>
    <r>
      <rPr>
        <b/>
        <i/>
        <sz val="10"/>
        <color rgb="FFC00000"/>
        <rFont val="Book Antiqua"/>
        <family val="1"/>
      </rPr>
      <t xml:space="preserve"> Wunschpakets </t>
    </r>
    <r>
      <rPr>
        <b/>
        <i/>
        <sz val="10"/>
        <color rgb="FF0070C0"/>
        <rFont val="Book Antiqua"/>
        <family val="1"/>
      </rPr>
      <t>inkl. zusätzlicher Produkte</t>
    </r>
    <r>
      <rPr>
        <b/>
        <i/>
        <sz val="10"/>
        <color rgb="FFC00000"/>
        <rFont val="Book Antiqua"/>
        <family val="1"/>
      </rPr>
      <t xml:space="preserve"> </t>
    </r>
    <r>
      <rPr>
        <b/>
        <i/>
        <sz val="10"/>
        <color theme="1"/>
        <rFont val="Book Antiqua"/>
        <family val="1"/>
      </rPr>
      <t>somit gegenüber dem Einkauf (nach dem CF) insg.</t>
    </r>
  </si>
  <si>
    <t>Nebenlinien</t>
  </si>
  <si>
    <t>Vorherige Crowdfundings - DSA (Regionalspielhilfen/Sonstige)</t>
  </si>
  <si>
    <r>
      <rPr>
        <b/>
        <sz val="23"/>
        <color rgb="FFFF0000"/>
        <rFont val="Book Antiqua"/>
        <family val="1"/>
      </rPr>
      <t>DSA, DSK &amp; AVENTURIA</t>
    </r>
    <r>
      <rPr>
        <b/>
        <sz val="23"/>
        <color theme="1"/>
        <rFont val="Book Antiqua"/>
        <family val="1"/>
      </rPr>
      <t xml:space="preserve">
</t>
    </r>
    <r>
      <rPr>
        <b/>
        <sz val="23"/>
        <color rgb="FF00B050"/>
        <rFont val="Book Antiqua"/>
        <family val="1"/>
      </rPr>
      <t>Nachrichten, Fantalks, DSACast, Actual Plays u.v.m.</t>
    </r>
    <r>
      <rPr>
        <b/>
        <sz val="23"/>
        <color theme="1"/>
        <rFont val="Book Antiqua"/>
        <family val="1"/>
      </rPr>
      <t xml:space="preserve">
</t>
    </r>
    <r>
      <rPr>
        <b/>
        <sz val="23"/>
        <color rgb="FF0070C0"/>
        <rFont val="Book Antiqua"/>
        <family val="1"/>
      </rPr>
      <t>auf Twitch, YouTube, Discord, Blog, Instagram, Facebook etc.</t>
    </r>
  </si>
  <si>
    <t>Die grün markierten Produkte hast du bei dem entsprechenden Reward (Paket) inklusive.</t>
  </si>
  <si>
    <r>
      <t>Wähle im Register "</t>
    </r>
    <r>
      <rPr>
        <b/>
        <u/>
        <sz val="15"/>
        <color theme="1"/>
        <rFont val="Book Antiqua"/>
        <family val="1"/>
      </rPr>
      <t>Einkaufsführer</t>
    </r>
    <r>
      <rPr>
        <b/>
        <sz val="15"/>
        <color theme="1"/>
        <rFont val="Book Antiqua"/>
        <family val="1"/>
      </rPr>
      <t>" deine</t>
    </r>
    <r>
      <rPr>
        <b/>
        <sz val="15"/>
        <color rgb="FFC00000"/>
        <rFont val="Book Antiqua"/>
        <family val="1"/>
      </rPr>
      <t xml:space="preserve"> Wunschprodukte (setze dafür ein "x" in der ersten Spalte)</t>
    </r>
    <r>
      <rPr>
        <b/>
        <sz val="15"/>
        <color theme="1"/>
        <rFont val="Book Antiqua"/>
        <family val="1"/>
      </rPr>
      <t xml:space="preserve"> und lass dir anzeigen, welcher Reward (Paket) bzw. welche Kombination für dich am besten passt!</t>
    </r>
  </si>
  <si>
    <t>noch unbekannt</t>
  </si>
  <si>
    <t>(Einzelband, limitiert)</t>
  </si>
  <si>
    <t>(regelfrei)</t>
  </si>
  <si>
    <t>(Hauptbände)</t>
  </si>
  <si>
    <t>(Hauptbände, limitiert)</t>
  </si>
  <si>
    <t>(All-in)</t>
  </si>
  <si>
    <t>Link</t>
  </si>
  <si>
    <t>Videotitel</t>
  </si>
  <si>
    <t>LP</t>
  </si>
  <si>
    <t>HC, A4, bis zu 160 Seiten</t>
  </si>
  <si>
    <t>HC, A5, Kunstleder, 160 Seiten</t>
  </si>
  <si>
    <t>Folder mit Karten (A4 bis A2 oder A1)</t>
  </si>
  <si>
    <t>Kodex des Götterwirkens (Nachdruck)</t>
  </si>
  <si>
    <t>Divinarium Liturgia</t>
  </si>
  <si>
    <t>Levthan-Vademecum</t>
  </si>
  <si>
    <t>Vademecum-Schuber (gefüllt)</t>
  </si>
  <si>
    <t>Efferd-Vademecum</t>
  </si>
  <si>
    <t>Boron-Vademecum</t>
  </si>
  <si>
    <t>Travia-Vademecum</t>
  </si>
  <si>
    <t>Praios-Vademecum</t>
  </si>
  <si>
    <t>Rondra-Vademecum</t>
  </si>
  <si>
    <t>Phex-Vademecum</t>
  </si>
  <si>
    <t>Firun-Vademecum</t>
  </si>
  <si>
    <t>Peraine-Vademecum</t>
  </si>
  <si>
    <t>Ingerimm-Vademecum</t>
  </si>
  <si>
    <t>Bund des wahren Glaubens-Vademecum</t>
  </si>
  <si>
    <t>Vademecum-Schuber (leer)</t>
  </si>
  <si>
    <t>Add-ons: HEILIGE SCHRIFTEN</t>
  </si>
  <si>
    <t>Add-ons: VADEMECUMS</t>
  </si>
  <si>
    <t>Rahjakavaliere-Vademecum</t>
  </si>
  <si>
    <t>Vademecum des Widderordens</t>
  </si>
  <si>
    <t>Mokoscha-Vademecum</t>
  </si>
  <si>
    <t>Aves-Vademecum</t>
  </si>
  <si>
    <t>Ifirn-Vademecum</t>
  </si>
  <si>
    <t>Nandus-Vademecum</t>
  </si>
  <si>
    <t>Swafnir-Vademecum</t>
  </si>
  <si>
    <t>Draconiter-Vademecum</t>
  </si>
  <si>
    <t>ODL-Vademecum</t>
  </si>
  <si>
    <t>Rastullah-Vademecum</t>
  </si>
  <si>
    <t>H'Ranga-Vademecum</t>
  </si>
  <si>
    <t>Vademecum der Himmelswölfe</t>
  </si>
  <si>
    <t>Vampirjäger-Vademecum</t>
  </si>
  <si>
    <t>Pyrdacor-Vademecum</t>
  </si>
  <si>
    <t>Mada-Vademecum</t>
  </si>
  <si>
    <t>Kamaluq-Vademecum</t>
  </si>
  <si>
    <t>Marbo-Vademecum</t>
  </si>
  <si>
    <t>Rahja-Vademecum</t>
  </si>
  <si>
    <t>n.e.</t>
  </si>
  <si>
    <t>Aktuell nicht im Handel! Nur im Schuber erhältlich!</t>
  </si>
  <si>
    <t>Add-ons: SCHICKSAL UND VERDAMMNIS</t>
  </si>
  <si>
    <t>Schicksal und Verdammnis - Götter- und Dämonenbundle</t>
  </si>
  <si>
    <t>Schicksal und Verdammnis - Erzdämon Agrimoth</t>
  </si>
  <si>
    <t>Schicksal und Verdammnis - Gottheit Xeledon</t>
  </si>
  <si>
    <t>Schicksal und Verdammnis - Erzdämon Amazeroth</t>
  </si>
  <si>
    <t>Schicksal und Verdammnis - Erzdämon Aphasmayra</t>
  </si>
  <si>
    <t>Schicksal und Verdammnis - Erzdämon Aphestadil</t>
  </si>
  <si>
    <t>Schicksal und Verdammnis - Erzdämon Asfaloth</t>
  </si>
  <si>
    <t>Schicksal und Verdammnis - Erzdämon Charyptoroth</t>
  </si>
  <si>
    <t>Schicksal und Verdammnis - Erzdämon Heskatet</t>
  </si>
  <si>
    <t>Schicksal und Verdammnis - Erzdämon Belhalhar</t>
  </si>
  <si>
    <t>Schicksal und Verdammnis - Erzdämon Belkelel</t>
  </si>
  <si>
    <t>Schicksal und Verdammnis - Erzdämon Blakharaz</t>
  </si>
  <si>
    <t>Schicksal und Verdammnis - Erzdämon Lolgramoth</t>
  </si>
  <si>
    <t>Schicksal und Verdammnis - Erzdämon Mishkara</t>
  </si>
  <si>
    <t>Schicksal und Verdammnis - Erzdämon Nagrach</t>
  </si>
  <si>
    <t>Schicksal und Verdammnis - Erzdämon Tasfarelel</t>
  </si>
  <si>
    <t>Schicksal und Verdammnis - Erzdämon Thargunitoth</t>
  </si>
  <si>
    <t>Schicksal und Verdammnis - Gottheit Boron</t>
  </si>
  <si>
    <t>Schicksal und Verdammnis - Gottheit Efferd</t>
  </si>
  <si>
    <t>Schicksal und Verdammnis - Gottheit Firun</t>
  </si>
  <si>
    <t>Schicksal und Verdammnis - Gottheit Hesinde</t>
  </si>
  <si>
    <t>Schicksal und Verdammnis - Gottheit Ingerimm</t>
  </si>
  <si>
    <t>Schicksal und Verdammnis - Gottheit Peraine</t>
  </si>
  <si>
    <t>Schicksal und Verdammnis - Gottheit Phex</t>
  </si>
  <si>
    <t>Schicksal und Verdammnis - Gottheit Praios</t>
  </si>
  <si>
    <t>Schicksal und Verdammnis - Gottheit Rahja</t>
  </si>
  <si>
    <t>Schicksal und Verdammnis - Gottheit Rondra</t>
  </si>
  <si>
    <t>Schicksal und Verdammnis - Gottheit Travia</t>
  </si>
  <si>
    <t>Schicksal und Verdammnis - Gottheit Tsa</t>
  </si>
  <si>
    <t>Schicksal und Verdammnis - Gottheit Angrosch</t>
  </si>
  <si>
    <t>Schicksal und Verdammnis - Gottheit Aves</t>
  </si>
  <si>
    <t>Schicksal und Verdammnis - Gottheit Brazoragh</t>
  </si>
  <si>
    <t>Schicksal und Verdammnis - Gottheit Himmelswölfe</t>
  </si>
  <si>
    <t>Schicksal und Verdammnis - Gottheit Ifirn</t>
  </si>
  <si>
    <t>Schicksal und Verdammnis - Gottheit Kamaluq</t>
  </si>
  <si>
    <t>Schicksal und Verdammnis - Gottheit Kor</t>
  </si>
  <si>
    <t>Schicksal und Verdammnis - Gottheit Levthan</t>
  </si>
  <si>
    <t>Schicksal und Verdammnis - Gottheit Mada</t>
  </si>
  <si>
    <t>Schicksal und Verdammnis - Gottheit Marbo</t>
  </si>
  <si>
    <t>Schicksal und Verdammnis - Gottheit Mokoscha</t>
  </si>
  <si>
    <t>Schicksal und Verdammnis - Gottheit Namenloser</t>
  </si>
  <si>
    <t>Schicksal und Verdammnis - Gottheit Nandus</t>
  </si>
  <si>
    <t>Schicksal und Verdammnis - Gottheit Numinoru</t>
  </si>
  <si>
    <t>Schicksal und Verdammnis - Gottheit Rastullah</t>
  </si>
  <si>
    <t>Schicksal und Verdammnis - Gottheit Satuaria</t>
  </si>
  <si>
    <t>Schicksal und Verdammnis - Gottheit Shinxir</t>
  </si>
  <si>
    <t>Schicksal und Verdammnis - Gottheit Simia</t>
  </si>
  <si>
    <t>Schicksal und Verdammnis - Gottheit Swafnir</t>
  </si>
  <si>
    <t>Schicksal und Verdammnis - Gottheit Tairach</t>
  </si>
  <si>
    <t>Schicksal und Verdammnis - Gottheit Ucuri</t>
  </si>
  <si>
    <t>Teil des digitalen Crowdfunding-Pakets</t>
  </si>
  <si>
    <t>HC, A4, 80 Seiten</t>
  </si>
  <si>
    <r>
      <t xml:space="preserve">- Abenteuer "In den Fängen des Dämons" </t>
    </r>
    <r>
      <rPr>
        <b/>
        <i/>
        <sz val="10"/>
        <color rgb="FFFF0000"/>
        <rFont val="Book Antiqua"/>
        <family val="1"/>
      </rPr>
      <t>(26. Ziel)</t>
    </r>
  </si>
  <si>
    <r>
      <t>- Held: Abtrünniger Bannstrahler/Bannstrahlerin</t>
    </r>
    <r>
      <rPr>
        <b/>
        <i/>
        <sz val="10"/>
        <color rgb="FFFF0000"/>
        <rFont val="Book Antiqua"/>
        <family val="1"/>
      </rPr>
      <t xml:space="preserve"> (28. Ziel, bei 500.000 €)</t>
    </r>
  </si>
  <si>
    <r>
      <t xml:space="preserve">- Kelche der Macht - Fortschrittstracker (Karte) </t>
    </r>
    <r>
      <rPr>
        <b/>
        <i/>
        <sz val="10"/>
        <color rgb="FFFF0000"/>
        <rFont val="Book Antiqua"/>
        <family val="1"/>
      </rPr>
      <t>(20. Ziel)</t>
    </r>
  </si>
  <si>
    <r>
      <t>- Alternative Artworks Magierin, Kriegerin, Elfe</t>
    </r>
    <r>
      <rPr>
        <b/>
        <i/>
        <sz val="10"/>
        <color rgb="FFFF0000"/>
        <rFont val="Book Antiqua"/>
        <family val="1"/>
      </rPr>
      <t xml:space="preserve"> (5. Ziel)</t>
    </r>
  </si>
  <si>
    <r>
      <t>- Alternative Artworks Geweihter, Zwerg, Streuner</t>
    </r>
    <r>
      <rPr>
        <b/>
        <i/>
        <sz val="10"/>
        <color rgb="FFFF0000"/>
        <rFont val="Book Antiqua"/>
        <family val="1"/>
      </rPr>
      <t xml:space="preserve"> (11. Ziel)</t>
    </r>
  </si>
  <si>
    <r>
      <t>- Größere Anführer-Karten (für beide Kampagen)</t>
    </r>
    <r>
      <rPr>
        <b/>
        <i/>
        <sz val="10"/>
        <color rgb="FFFF0000"/>
        <rFont val="Book Antiqua"/>
        <family val="1"/>
      </rPr>
      <t xml:space="preserve"> (17. Ziel)</t>
    </r>
  </si>
  <si>
    <r>
      <t>- 30% Rabatt auf Aventuria-Foundry VTT-Module</t>
    </r>
    <r>
      <rPr>
        <b/>
        <i/>
        <sz val="10"/>
        <color rgb="FFFF0000"/>
        <rFont val="Book Antiqua"/>
        <family val="1"/>
      </rPr>
      <t xml:space="preserve"> (27. Ziel)</t>
    </r>
  </si>
  <si>
    <t>Teil des Kompendiums - Nicht als Einzelprodukt erhältlich!</t>
  </si>
  <si>
    <r>
      <t xml:space="preserve">- Drei Szenarien im Auftrag der Halbgötter </t>
    </r>
    <r>
      <rPr>
        <b/>
        <i/>
        <sz val="10"/>
        <rFont val="Book Antiqua"/>
        <family val="1"/>
      </rPr>
      <t>(8. Ziel)</t>
    </r>
  </si>
  <si>
    <t>Teil der Anthologie - Nicht als Einzelprodukt erhältlich!</t>
  </si>
  <si>
    <r>
      <t xml:space="preserve">- Drei Szenarien im Auftrag der Halbgötter </t>
    </r>
    <r>
      <rPr>
        <b/>
        <i/>
        <sz val="10"/>
        <rFont val="Book Antiqua"/>
        <family val="1"/>
      </rPr>
      <t>(18. Ziel)</t>
    </r>
  </si>
  <si>
    <r>
      <t xml:space="preserve">- </t>
    </r>
    <r>
      <rPr>
        <i/>
        <strike/>
        <sz val="10"/>
        <rFont val="Book Antiqua"/>
        <family val="1"/>
      </rPr>
      <t>Noch unbekannt</t>
    </r>
    <r>
      <rPr>
        <i/>
        <sz val="10"/>
        <rFont val="Book Antiqua"/>
        <family val="1"/>
      </rPr>
      <t xml:space="preserve"> </t>
    </r>
    <r>
      <rPr>
        <b/>
        <i/>
        <sz val="10"/>
        <rFont val="Book Antiqua"/>
        <family val="1"/>
      </rPr>
      <t>(X. Ziel)</t>
    </r>
  </si>
  <si>
    <t>Kirchen Alverans</t>
  </si>
  <si>
    <t>KA (€)</t>
  </si>
  <si>
    <t>KA (Backer)</t>
  </si>
  <si>
    <t>KA (€/B)</t>
  </si>
  <si>
    <t>MP Lex (€)</t>
  </si>
  <si>
    <t>MP Lex (B)</t>
  </si>
  <si>
    <t>MP Lex</t>
  </si>
  <si>
    <r>
      <t xml:space="preserve">Bereits erhältliches Produkt; </t>
    </r>
    <r>
      <rPr>
        <sz val="10"/>
        <color rgb="FFFF0000"/>
        <rFont val="Book Antiqua"/>
        <family val="1"/>
      </rPr>
      <t>11% Rabatt</t>
    </r>
  </si>
  <si>
    <r>
      <t xml:space="preserve">Bereits erhältliches Produkt; </t>
    </r>
    <r>
      <rPr>
        <sz val="10"/>
        <color rgb="FFFF0000"/>
        <rFont val="Book Antiqua"/>
        <family val="1"/>
      </rPr>
      <t>20% Rabatt</t>
    </r>
  </si>
  <si>
    <r>
      <t>Bereits erhältliches Produkt;</t>
    </r>
    <r>
      <rPr>
        <sz val="10"/>
        <color rgb="FFFF0000"/>
        <rFont val="Book Antiqua"/>
        <family val="1"/>
      </rPr>
      <t xml:space="preserve"> 32% Rabatt</t>
    </r>
  </si>
  <si>
    <t>Auch Teil des Vademecum-Schubers</t>
  </si>
  <si>
    <t>Auch Teil des Bundles</t>
  </si>
  <si>
    <r>
      <t xml:space="preserve">- Universal-Meisterschirm Geweihte, Akoluthen &amp; Novizen </t>
    </r>
    <r>
      <rPr>
        <b/>
        <i/>
        <sz val="10"/>
        <rFont val="Book Antiqua"/>
        <family val="1"/>
      </rPr>
      <t>(20. Ziel)</t>
    </r>
  </si>
  <si>
    <t>1. Version</t>
  </si>
  <si>
    <t>Kanal</t>
  </si>
  <si>
    <t>Ulisses</t>
  </si>
  <si>
    <t>Hinter dem Schwarzen Auge</t>
  </si>
  <si>
    <t>Bonusziele (Stretch goals)</t>
  </si>
  <si>
    <t>Zeitung, A3 (4 Seiten)</t>
  </si>
  <si>
    <t>Farbplan, A3</t>
  </si>
  <si>
    <t>Teil des Landkartensets - Nicht als Einzelprodukt erhältlich</t>
  </si>
  <si>
    <r>
      <t>- Farbplan der Sakrale von Beilunk (</t>
    </r>
    <r>
      <rPr>
        <b/>
        <i/>
        <sz val="10"/>
        <rFont val="Book Antiqua"/>
        <family val="1"/>
      </rPr>
      <t>23. Ziel</t>
    </r>
    <r>
      <rPr>
        <i/>
        <sz val="10"/>
        <rFont val="Book Antiqua"/>
        <family val="1"/>
      </rPr>
      <t>)</t>
    </r>
  </si>
  <si>
    <t>Teil der Bandes</t>
  </si>
  <si>
    <t>Farbplan, A4</t>
  </si>
  <si>
    <r>
      <t xml:space="preserve">- Abenteuer-Handouts für Flüstern der Götter und Echo des Glaubens </t>
    </r>
    <r>
      <rPr>
        <b/>
        <i/>
        <sz val="10"/>
        <rFont val="Book Antiqua"/>
        <family val="1"/>
      </rPr>
      <t>(27. Ziel)</t>
    </r>
  </si>
  <si>
    <r>
      <t xml:space="preserve">- </t>
    </r>
    <r>
      <rPr>
        <i/>
        <strike/>
        <sz val="10"/>
        <rFont val="Book Antiqua"/>
        <family val="1"/>
      </rPr>
      <t>Farbplan der Feste des Sternenflüsterns</t>
    </r>
    <r>
      <rPr>
        <i/>
        <sz val="10"/>
        <rFont val="Book Antiqua"/>
        <family val="1"/>
      </rPr>
      <t xml:space="preserve"> </t>
    </r>
    <r>
      <rPr>
        <b/>
        <i/>
        <sz val="10"/>
        <rFont val="Book Antiqua"/>
        <family val="1"/>
      </rPr>
      <t>(29. Ziel, bei 310.000 €)</t>
    </r>
  </si>
  <si>
    <r>
      <t xml:space="preserve">- Farbplan des universal-einsetzbaren Klosters </t>
    </r>
    <r>
      <rPr>
        <b/>
        <i/>
        <sz val="10"/>
        <rFont val="Book Antiqua"/>
        <family val="1"/>
      </rPr>
      <t>(26. Ziel)</t>
    </r>
  </si>
  <si>
    <t xml:space="preserve">© 2026 by Ulisses Spiele GmbH               </t>
  </si>
  <si>
    <r>
      <t xml:space="preserve">Der "Maraskan - Insel der Zwillingsgötter"-Crowdfunding-Guide       von       </t>
    </r>
    <r>
      <rPr>
        <b/>
        <i/>
        <sz val="18"/>
        <color theme="0"/>
        <rFont val="Book Antiqua"/>
        <family val="1"/>
      </rPr>
      <t>Hinter dem Schwarzen Auge</t>
    </r>
  </si>
  <si>
    <t>Regional-spielhilfe</t>
  </si>
  <si>
    <t>Regional-spielhilfe Deluxe</t>
  </si>
  <si>
    <t>Bundle regelfrei</t>
  </si>
  <si>
    <t>Digitales Bundle</t>
  </si>
  <si>
    <t>Haupt-bände</t>
  </si>
  <si>
    <t>Haupt-bände Deluxe</t>
  </si>
  <si>
    <t>All-In</t>
  </si>
  <si>
    <t>Spiel-material Bundle</t>
  </si>
  <si>
    <t>Spiel-material Bun. Deluxe</t>
  </si>
  <si>
    <t>Finanziert</t>
  </si>
  <si>
    <t>Die Rebellen und Kleinkriege Maraskans</t>
  </si>
  <si>
    <t>Schönheit und Schrecken Maraskans</t>
  </si>
  <si>
    <t>Ergänzt folgendes Produkt</t>
  </si>
  <si>
    <t>Maraskanisches Theater</t>
  </si>
  <si>
    <t>Kurzabenteuer: Der Reichsdiskus</t>
  </si>
  <si>
    <t>Der Zweite Finger Tsas</t>
  </si>
  <si>
    <t>Maraskanisches Dorf</t>
  </si>
  <si>
    <t>Die Verwandlungsmagier Sinodas</t>
  </si>
  <si>
    <t>Kurzabenteuer: Ey Mann, wo is’ Maru-Zha?</t>
  </si>
  <si>
    <t>Maraskanische Buskure</t>
  </si>
  <si>
    <t>Das Hexenköniginnenreich</t>
  </si>
  <si>
    <t>Chalwen und die Pfade der Riesen</t>
  </si>
  <si>
    <t>Kurzabenteuer: Lycosas Rache</t>
  </si>
  <si>
    <t>Extrablatt!</t>
  </si>
  <si>
    <t>Landkartenset von Maraskan</t>
  </si>
  <si>
    <t>Maru-Zha</t>
  </si>
  <si>
    <t>Rur-und Gror-Priester</t>
  </si>
  <si>
    <t>Kurzabenteuer: Sturm schleift Meer</t>
  </si>
  <si>
    <t>Nyrabaal</t>
  </si>
  <si>
    <t>Helden von Maraskan</t>
  </si>
  <si>
    <t>MAR (€)</t>
  </si>
  <si>
    <t>MAR (€/B)</t>
  </si>
  <si>
    <t>MAR (Backer)</t>
  </si>
  <si>
    <t>Maraskan</t>
  </si>
  <si>
    <t>St.abw. 1-&gt;3</t>
  </si>
  <si>
    <r>
      <t>Maraskan - Insel der Zwillingsgötter</t>
    </r>
    <r>
      <rPr>
        <b/>
        <sz val="8"/>
        <color theme="1"/>
        <rFont val="Book Antiqua"/>
        <family val="1"/>
      </rPr>
      <t xml:space="preserve"> (regelfreie Regionalspielhilfe)</t>
    </r>
  </si>
  <si>
    <t>HC, A4, 160 Seiten</t>
  </si>
  <si>
    <r>
      <t xml:space="preserve">- XXX </t>
    </r>
    <r>
      <rPr>
        <b/>
        <i/>
        <sz val="10"/>
        <rFont val="Book Antiqua"/>
        <family val="1"/>
      </rPr>
      <t>(25. Ziel)</t>
    </r>
  </si>
  <si>
    <t>Erweiterung der RSH</t>
  </si>
  <si>
    <r>
      <t>Maraskan - Insel der Zwillingsgötter (limitiert)</t>
    </r>
    <r>
      <rPr>
        <b/>
        <sz val="8"/>
        <color theme="1"/>
        <rFont val="Book Antiqua"/>
        <family val="1"/>
      </rPr>
      <t xml:space="preserve"> (regelfreie Regionalspielhilfe)</t>
    </r>
  </si>
  <si>
    <t>HC, A4, Kunstleder, 160 Seiten</t>
  </si>
  <si>
    <r>
      <t xml:space="preserve">Handbuch der Gefahren Maraskans </t>
    </r>
    <r>
      <rPr>
        <b/>
        <sz val="8"/>
        <color theme="1"/>
        <rFont val="Book Antiqua"/>
        <family val="1"/>
      </rPr>
      <t>(Quellenband)</t>
    </r>
  </si>
  <si>
    <r>
      <t xml:space="preserve">Belhalhars Schlachthaus </t>
    </r>
    <r>
      <rPr>
        <b/>
        <sz val="8"/>
        <color theme="1"/>
        <rFont val="Book Antiqua"/>
        <family val="1"/>
      </rPr>
      <t>(Abenteuer)</t>
    </r>
  </si>
  <si>
    <t>SC, A4, 48 Seiten</t>
  </si>
  <si>
    <t>Erweiterung von Belhalhars Schlachthaus</t>
  </si>
  <si>
    <r>
      <t xml:space="preserve">Schönheit und Schrecken Maraskans </t>
    </r>
    <r>
      <rPr>
        <b/>
        <sz val="8"/>
        <color theme="1"/>
        <rFont val="Book Antiqua"/>
        <family val="1"/>
      </rPr>
      <t>(Stretchgoal-Sammelband)</t>
    </r>
  </si>
  <si>
    <r>
      <t xml:space="preserve">- X </t>
    </r>
    <r>
      <rPr>
        <b/>
        <i/>
        <sz val="10"/>
        <rFont val="Book Antiqua"/>
        <family val="1"/>
      </rPr>
      <t>(4. Ziel)</t>
    </r>
  </si>
  <si>
    <t>Erweiterung des Sammelbands</t>
  </si>
  <si>
    <t>Teil des Sammelbands - Nicht als Einzelprodukt erhältlich!</t>
  </si>
  <si>
    <r>
      <t xml:space="preserve">Rur und Gror Vademecum </t>
    </r>
    <r>
      <rPr>
        <b/>
        <sz val="8"/>
        <color theme="1"/>
        <rFont val="Book Antiqua"/>
        <family val="1"/>
      </rPr>
      <t>(Ingame-Band)</t>
    </r>
  </si>
  <si>
    <r>
      <t xml:space="preserve">Das Heldenbrevier von Maraskan - Reiseberichte von der Insel... </t>
    </r>
    <r>
      <rPr>
        <b/>
        <sz val="8"/>
        <color theme="1"/>
        <rFont val="Book Antiqua"/>
        <family val="1"/>
      </rPr>
      <t>(Roman)</t>
    </r>
  </si>
  <si>
    <t>CD</t>
  </si>
  <si>
    <t>Würfelset Königstreue Maraskaner (2)</t>
  </si>
  <si>
    <t>2 Kunststoffwürfel</t>
  </si>
  <si>
    <t>Würfelset Königsgegner Maraskans (2)</t>
  </si>
  <si>
    <t>Sammelbox der Insel Maraskan</t>
  </si>
  <si>
    <t>Klapp-Sammelbox, Leinenstruktur</t>
  </si>
  <si>
    <r>
      <t xml:space="preserve">Maraskan - Insel der Zwillingsgötter </t>
    </r>
    <r>
      <rPr>
        <sz val="8"/>
        <color theme="1"/>
        <rFont val="Book Antiqua"/>
        <family val="1"/>
      </rPr>
      <t>(regelfreie Regionalspielhilfe)</t>
    </r>
  </si>
  <si>
    <r>
      <t xml:space="preserve">Handbuch der Gefahren Maraskans </t>
    </r>
    <r>
      <rPr>
        <sz val="8"/>
        <color theme="1"/>
        <rFont val="Book Antiqua"/>
        <family val="1"/>
      </rPr>
      <t>(Quellenband)</t>
    </r>
  </si>
  <si>
    <r>
      <t>Belhalhars Schlachthaus</t>
    </r>
    <r>
      <rPr>
        <sz val="8"/>
        <color theme="1"/>
        <rFont val="Book Antiqua"/>
        <family val="1"/>
      </rPr>
      <t xml:space="preserve"> (Abenteuer)</t>
    </r>
  </si>
  <si>
    <r>
      <t>Schönheit und Schrecken Maraskans</t>
    </r>
    <r>
      <rPr>
        <sz val="8"/>
        <color theme="1"/>
        <rFont val="Book Antiqua"/>
        <family val="1"/>
      </rPr>
      <t xml:space="preserve"> (Stretchgoal-Sammelband)</t>
    </r>
  </si>
  <si>
    <r>
      <t>Rur und Gror Vademecum</t>
    </r>
    <r>
      <rPr>
        <sz val="8"/>
        <color theme="1"/>
        <rFont val="Book Antiqua"/>
        <family val="1"/>
      </rPr>
      <t xml:space="preserve"> (Ingame-Band)</t>
    </r>
  </si>
  <si>
    <r>
      <t>Das Heldenbrevier von Maraskan - Reiseberichte von der Insel...</t>
    </r>
    <r>
      <rPr>
        <sz val="8"/>
        <color theme="1"/>
        <rFont val="Book Antiqua"/>
        <family val="1"/>
      </rPr>
      <t xml:space="preserve"> (Roman)</t>
    </r>
  </si>
  <si>
    <r>
      <t>Landkartenset von Maraskan</t>
    </r>
    <r>
      <rPr>
        <b/>
        <sz val="8"/>
        <color theme="1"/>
        <rFont val="Book Antiqua"/>
        <family val="1"/>
      </rPr>
      <t xml:space="preserve"> (Landkarten)</t>
    </r>
  </si>
  <si>
    <r>
      <t>Landkartenset von Maraskan</t>
    </r>
    <r>
      <rPr>
        <sz val="8"/>
        <color theme="1"/>
        <rFont val="Book Antiqua"/>
        <family val="1"/>
      </rPr>
      <t xml:space="preserve"> (Landkarten)</t>
    </r>
  </si>
  <si>
    <r>
      <t xml:space="preserve">Sphärenklang von Maraskan </t>
    </r>
    <r>
      <rPr>
        <b/>
        <sz val="8"/>
        <color theme="1"/>
        <rFont val="Book Antiqua"/>
        <family val="1"/>
      </rPr>
      <t>(Soundtrack)</t>
    </r>
  </si>
  <si>
    <r>
      <t>Sphärenklang von Maraskan</t>
    </r>
    <r>
      <rPr>
        <sz val="8"/>
        <color theme="1"/>
        <rFont val="Book Antiqua"/>
        <family val="1"/>
      </rPr>
      <t xml:space="preserve"> (Soundtrack)</t>
    </r>
  </si>
  <si>
    <t>Maraskan PDF-only Set</t>
  </si>
  <si>
    <t>Regionalspielhilfe</t>
  </si>
  <si>
    <t>Regionalspielhilfe Deluxe</t>
  </si>
  <si>
    <t>Hauptbände</t>
  </si>
  <si>
    <t>Hauptbände Deluxe</t>
  </si>
  <si>
    <t>Spielmaterial Bundle</t>
  </si>
  <si>
    <t>Spielmaterial Bundle Deluxe</t>
  </si>
  <si>
    <r>
      <t>Das sparst Du (</t>
    </r>
    <r>
      <rPr>
        <b/>
        <sz val="20"/>
        <color rgb="FF00B050"/>
        <rFont val="Book Antiqua"/>
        <family val="1"/>
      </rPr>
      <t>grüner Betrag</t>
    </r>
    <r>
      <rPr>
        <b/>
        <sz val="20"/>
        <color theme="1"/>
        <rFont val="Book Antiqua"/>
        <family val="1"/>
      </rPr>
      <t>)
bzw. das zahlst Du mehr
(</t>
    </r>
    <r>
      <rPr>
        <b/>
        <sz val="20"/>
        <color rgb="FFC00000"/>
        <rFont val="Book Antiqua"/>
        <family val="1"/>
      </rPr>
      <t>roter Betrag</t>
    </r>
    <r>
      <rPr>
        <b/>
        <sz val="20"/>
        <color theme="1"/>
        <rFont val="Book Antiqua"/>
        <family val="1"/>
      </rPr>
      <t>),
wenn du stattdessen
folgenden Reward wählst…</t>
    </r>
  </si>
  <si>
    <t>Kauf im
F-Shop, nach CF</t>
  </si>
  <si>
    <r>
      <t>- Hintergründe zu den unsteten politischen Verhältnissen (</t>
    </r>
    <r>
      <rPr>
        <b/>
        <i/>
        <sz val="10"/>
        <rFont val="Book Antiqua"/>
        <family val="1"/>
      </rPr>
      <t>2. Ziel</t>
    </r>
    <r>
      <rPr>
        <i/>
        <sz val="10"/>
        <rFont val="Book Antiqua"/>
        <family val="1"/>
      </rPr>
      <t>)</t>
    </r>
  </si>
  <si>
    <r>
      <t xml:space="preserve">- Hintergründe zur kulturell zentralen Theaterkunst </t>
    </r>
    <r>
      <rPr>
        <b/>
        <i/>
        <sz val="10"/>
        <rFont val="Book Antiqua"/>
        <family val="1"/>
      </rPr>
      <t>(3. Ziel)</t>
    </r>
  </si>
  <si>
    <r>
      <t>- Kurzabenteuer rund um den Reichsdiskus (</t>
    </r>
    <r>
      <rPr>
        <b/>
        <i/>
        <sz val="10"/>
        <rFont val="Book Antiqua"/>
        <family val="1"/>
      </rPr>
      <t>4. Ziel</t>
    </r>
    <r>
      <rPr>
        <i/>
        <sz val="10"/>
        <rFont val="Book Antiqua"/>
        <family val="1"/>
      </rPr>
      <t>)</t>
    </r>
  </si>
  <si>
    <r>
      <t xml:space="preserve">- Hintergründe zur berüchtigsten Meuchlergilde Maraskans </t>
    </r>
    <r>
      <rPr>
        <b/>
        <i/>
        <sz val="10"/>
        <rFont val="Book Antiqua"/>
        <family val="1"/>
      </rPr>
      <t>(5. Ziel)</t>
    </r>
  </si>
  <si>
    <r>
      <t xml:space="preserve">- Abenteuerschauplatz mit NSCs und Abenteuerideen für ein typisches Dorf </t>
    </r>
    <r>
      <rPr>
        <b/>
        <i/>
        <sz val="10"/>
        <rFont val="Book Antiqua"/>
        <family val="1"/>
      </rPr>
      <t>(6. Ziel)</t>
    </r>
  </si>
  <si>
    <r>
      <t xml:space="preserve">- Hintergründe zur Magierakademie von Sinoda </t>
    </r>
    <r>
      <rPr>
        <b/>
        <i/>
        <sz val="10"/>
        <rFont val="Book Antiqua"/>
        <family val="1"/>
      </rPr>
      <t>(7. Ziel)</t>
    </r>
  </si>
  <si>
    <r>
      <t xml:space="preserve">- Kurzabenteuer um eine blutdurstige, blindwütige Maru mit Amnesie </t>
    </r>
    <r>
      <rPr>
        <b/>
        <i/>
        <sz val="10"/>
        <rFont val="Book Antiqua"/>
        <family val="1"/>
      </rPr>
      <t>(8. Ziel)</t>
    </r>
  </si>
  <si>
    <r>
      <t xml:space="preserve">- Hintergründe zu den Rittern im Dienste des Königs von Maraskan </t>
    </r>
    <r>
      <rPr>
        <b/>
        <i/>
        <sz val="10"/>
        <rFont val="Book Antiqua"/>
        <family val="1"/>
      </rPr>
      <t>(9. Ziel)</t>
    </r>
  </si>
  <si>
    <r>
      <t xml:space="preserve">- Abenteuerschauplatz mit NSCs und Abenteuerideen Hexenköniginnenreich </t>
    </r>
    <r>
      <rPr>
        <b/>
        <i/>
        <sz val="10"/>
        <rFont val="Book Antiqua"/>
        <family val="1"/>
      </rPr>
      <t>(10. Ziel)</t>
    </r>
  </si>
  <si>
    <r>
      <t xml:space="preserve">- Hintergründe zu den Riesen Maraskans und ihren magischen Pfaden </t>
    </r>
    <r>
      <rPr>
        <b/>
        <i/>
        <sz val="10"/>
        <rFont val="Book Antiqua"/>
        <family val="1"/>
      </rPr>
      <t>(11. Ziel)</t>
    </r>
  </si>
  <si>
    <r>
      <t xml:space="preserve">- Kurzabenteuer in der Waldwildnis des maraskanischen Dschungels </t>
    </r>
    <r>
      <rPr>
        <b/>
        <i/>
        <sz val="10"/>
        <rFont val="Book Antiqua"/>
        <family val="1"/>
      </rPr>
      <t>(12. Ziel)</t>
    </r>
  </si>
  <si>
    <r>
      <t xml:space="preserve">- Sonderausgabe des Aventurischen Boten </t>
    </r>
    <r>
      <rPr>
        <b/>
        <i/>
        <sz val="10"/>
        <rFont val="Book Antiqua"/>
        <family val="1"/>
      </rPr>
      <t>(13. Ziel)</t>
    </r>
  </si>
  <si>
    <r>
      <t xml:space="preserve">- Abenteuerschauplatz mit NSCs und Abenteuerideen für Reich der Marus </t>
    </r>
    <r>
      <rPr>
        <b/>
        <i/>
        <sz val="10"/>
        <rFont val="Book Antiqua"/>
        <family val="1"/>
      </rPr>
      <t>(14. Ziel)</t>
    </r>
  </si>
  <si>
    <r>
      <t xml:space="preserve">- Hintergründe zu den Priestern der Zwillingsgötter </t>
    </r>
    <r>
      <rPr>
        <b/>
        <i/>
        <sz val="10"/>
        <rFont val="Book Antiqua"/>
        <family val="1"/>
      </rPr>
      <t>(15. Ziel)</t>
    </r>
  </si>
  <si>
    <r>
      <t xml:space="preserve">- Kurzabenteuer auf Maraskans Nebeninsel Jilaskan </t>
    </r>
    <r>
      <rPr>
        <b/>
        <i/>
        <sz val="10"/>
        <rFont val="Book Antiqua"/>
        <family val="1"/>
      </rPr>
      <t>(16. Ziel)</t>
    </r>
  </si>
  <si>
    <t>Teil des PDF-only Sets</t>
  </si>
  <si>
    <t>https://gamefound.com/de/projects/ulisses-spiele/maraskan</t>
  </si>
  <si>
    <t>CF:</t>
  </si>
  <si>
    <t>MP LEX</t>
  </si>
  <si>
    <t>MP KA</t>
  </si>
  <si>
    <t>MP KA (€)</t>
  </si>
  <si>
    <t>MP KA (B)</t>
  </si>
  <si>
    <t>Abweichung</t>
  </si>
  <si>
    <t>Bonusinhalt:</t>
  </si>
  <si>
    <t>Teil des Landkartensets - Nicht als Einzelprodukt erhältlich!</t>
  </si>
  <si>
    <t>https://www.youtube.com/watch?v=VBWmbVPELdo</t>
  </si>
  <si>
    <t>Das Schwarze Auge: Maraskan | Crowdfunding Countdown mit Zoe &amp; Daniel LIVE</t>
  </si>
  <si>
    <t>MP3</t>
  </si>
  <si>
    <t>Die knospende Magierakademie von Jergan</t>
  </si>
  <si>
    <t>Kurzabenteuer: Licht im Alabaster</t>
  </si>
  <si>
    <t>Der Friedhof der Seeschlangen</t>
  </si>
  <si>
    <t>Herbarium Extended</t>
  </si>
  <si>
    <r>
      <t>Die orange markierten Produkte musst du bei dem entsprechenden Reward als "</t>
    </r>
    <r>
      <rPr>
        <b/>
        <u/>
        <sz val="15"/>
        <color theme="1"/>
        <rFont val="Book Antiqua"/>
        <family val="1"/>
      </rPr>
      <t>Add-on</t>
    </r>
    <r>
      <rPr>
        <b/>
        <sz val="15"/>
        <color theme="1"/>
        <rFont val="Book Antiqua"/>
        <family val="1"/>
      </rPr>
      <t xml:space="preserve">" im CF hinzubuchen
</t>
    </r>
    <r>
      <rPr>
        <b/>
        <sz val="15"/>
        <color rgb="FF00B050"/>
        <rFont val="Book Antiqua"/>
        <family val="1"/>
      </rPr>
      <t xml:space="preserve">ODER
</t>
    </r>
    <r>
      <rPr>
        <b/>
        <sz val="15"/>
        <color theme="1"/>
        <rFont val="Book Antiqua"/>
        <family val="1"/>
      </rPr>
      <t>diese digitalen Inhalte sind beim physischen Produkt bereits mit enthalten ("</t>
    </r>
    <r>
      <rPr>
        <b/>
        <u/>
        <sz val="15"/>
        <color theme="1"/>
        <rFont val="Book Antiqua"/>
        <family val="1"/>
      </rPr>
      <t>enthalten</t>
    </r>
    <r>
      <rPr>
        <b/>
        <sz val="15"/>
        <color theme="1"/>
        <rFont val="Book Antiqua"/>
        <family val="1"/>
      </rPr>
      <t xml:space="preserve">")
</t>
    </r>
    <r>
      <rPr>
        <b/>
        <sz val="15"/>
        <color rgb="FF00B050"/>
        <rFont val="Book Antiqua"/>
        <family val="1"/>
      </rPr>
      <t xml:space="preserve">ODER
</t>
    </r>
    <r>
      <rPr>
        <b/>
        <sz val="15"/>
        <color theme="1"/>
        <rFont val="Book Antiqua"/>
        <family val="1"/>
      </rPr>
      <t>du musst sie nach dem CF im F-Shop bzw. Ulisses-ebook-Shop erwerben ("</t>
    </r>
    <r>
      <rPr>
        <b/>
        <u/>
        <sz val="15"/>
        <color theme="1"/>
        <rFont val="Book Antiqua"/>
        <family val="1"/>
      </rPr>
      <t>Kauf nach CF</t>
    </r>
    <r>
      <rPr>
        <b/>
        <sz val="15"/>
        <color theme="1"/>
        <rFont val="Book Antiqua"/>
        <family val="1"/>
      </rPr>
      <t>").</t>
    </r>
  </si>
  <si>
    <t>Hochrech.</t>
  </si>
  <si>
    <r>
      <t xml:space="preserve">- 6 spielfertige Archetypen </t>
    </r>
    <r>
      <rPr>
        <b/>
        <i/>
        <sz val="10"/>
        <rFont val="Book Antiqua"/>
        <family val="1"/>
      </rPr>
      <t>(18. Ziel)</t>
    </r>
  </si>
  <si>
    <t>2. Version mit inkl. Tag 8, aktualisierte Hochrechnung, neue Videos &amp; Streams</t>
  </si>
  <si>
    <t>Alles zum Maraskan-Crowdfunding: Infos, Crowdfunding-Guide &amp; Fantalk (DSA-Nachrichten-Spezial) #091</t>
  </si>
  <si>
    <t>https://youtu.be/YjnL617YBvA</t>
  </si>
  <si>
    <t>Was ist eigentlich MARASKAN? – Der Talk mit Thorsten Most &amp; Fred Ericson (28. DSA-Fantalk)</t>
  </si>
  <si>
    <t>https://youtu.be/eQFDquJqRzQ</t>
  </si>
  <si>
    <t>3. Version mit inkl. Tag 10, aktualisierte Hochrechnung, neues Video</t>
  </si>
  <si>
    <t>Maraskan | Crowdfunding Update mit Zoe &amp; Daniel LIVE</t>
  </si>
  <si>
    <t>4. Version mit inkl. Tag 13, aktualisierte Hochrechnung</t>
  </si>
  <si>
    <r>
      <t>-Kurzabenteuer um eine Forschungsreise (</t>
    </r>
    <r>
      <rPr>
        <b/>
        <i/>
        <sz val="10"/>
        <rFont val="Book Antiqua"/>
        <family val="1"/>
      </rPr>
      <t>20. Ziel</t>
    </r>
    <r>
      <rPr>
        <i/>
        <sz val="10"/>
        <rFont val="Book Antiqua"/>
        <family val="1"/>
      </rPr>
      <t>)</t>
    </r>
  </si>
  <si>
    <r>
      <t>- Hintergründe zur Magierakademie von Jergan (</t>
    </r>
    <r>
      <rPr>
        <b/>
        <i/>
        <sz val="10"/>
        <rFont val="Book Antiqua"/>
        <family val="1"/>
      </rPr>
      <t>19. Ziel)</t>
    </r>
  </si>
  <si>
    <r>
      <t>- Abenteuerschauplatz mit NSCs und Abenteuerideen für Nyrabaal (</t>
    </r>
    <r>
      <rPr>
        <b/>
        <i/>
        <sz val="10"/>
        <rFont val="Book Antiqua"/>
        <family val="1"/>
      </rPr>
      <t>17. Ziel</t>
    </r>
    <r>
      <rPr>
        <i/>
        <sz val="10"/>
        <rFont val="Book Antiqua"/>
        <family val="1"/>
      </rPr>
      <t>)</t>
    </r>
  </si>
  <si>
    <t>5. Version mit inkl. Tag 16, aktualisierte Hochrechnung</t>
  </si>
  <si>
    <r>
      <t>- Abenteuerschauplatz für (Un)Heiligtum (</t>
    </r>
    <r>
      <rPr>
        <b/>
        <i/>
        <sz val="10"/>
        <rFont val="Book Antiqua"/>
        <family val="1"/>
      </rPr>
      <t>21. Ziel</t>
    </r>
    <r>
      <rPr>
        <i/>
        <sz val="10"/>
        <rFont val="Book Antiqua"/>
        <family val="1"/>
      </rPr>
      <t>)</t>
    </r>
  </si>
  <si>
    <t>6. Version mit inkl. Tag 19, aktualisierte Hochrechnung</t>
  </si>
  <si>
    <r>
      <t>- Zusätzliche nützliche und gefährliche Pflanzen (</t>
    </r>
    <r>
      <rPr>
        <b/>
        <i/>
        <sz val="10"/>
        <rFont val="Book Antiqua"/>
        <family val="1"/>
      </rPr>
      <t>22. Ziel</t>
    </r>
    <r>
      <rPr>
        <i/>
        <sz val="10"/>
        <rFont val="Book Antiqua"/>
        <family val="1"/>
      </rPr>
      <t>)</t>
    </r>
  </si>
  <si>
    <t>7. Version mit inkl. Tag 21, Finaler Stand</t>
  </si>
  <si>
    <t>Das Schwarze Auge: Maraskan | Crowdfunding ENDGAME mit Zoe &amp; Daniel</t>
  </si>
  <si>
    <t>LINK FOLGT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</si>
</sst>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\ &quot;€&quot;"/>
    <numFmt numFmtId="165" formatCode="#,##0.00\ &quot;€&quot;"/>
    <numFmt numFmtId="166" formatCode="[$£-809]#,##0"/>
    <numFmt numFmtId="167" formatCode="0.0%"/>
    <numFmt numFmtId="168" formatCode="dddd"/>
    <numFmt numFmtId="169" formatCode="h:mm;@"/>
    <numFmt numFmtId="170" formatCode="[h]:mm"/>
    <numFmt numFmtId="171" formatCode="0&quot;. Tag&quot;"/>
    <numFmt numFmtId="172" formatCode="dd/mm/yy"/>
    <numFmt numFmtId="173" formatCode="dd/mm/yy\,\ hh:mm"/>
    <numFmt numFmtId="174" formatCode="&quot;/&quot;"/>
    <numFmt numFmtId="175" formatCode="&quot;ca. &quot;#,##0"/>
  </numFmts>
  <fonts count="1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Book Antiqua"/>
      <family val="1"/>
    </font>
    <font>
      <b/>
      <i/>
      <sz val="10"/>
      <color rgb="FFFF0000"/>
      <name val="Book Antiqua"/>
      <family val="1"/>
    </font>
    <font>
      <i/>
      <sz val="10"/>
      <color theme="1"/>
      <name val="Book Antiqua"/>
      <family val="1"/>
    </font>
    <font>
      <b/>
      <i/>
      <sz val="10"/>
      <name val="Book Antiqua"/>
      <family val="1"/>
    </font>
    <font>
      <b/>
      <i/>
      <sz val="10"/>
      <color theme="1"/>
      <name val="Book Antiqua"/>
      <family val="1"/>
    </font>
    <font>
      <b/>
      <i/>
      <sz val="10"/>
      <color rgb="FF0070C0"/>
      <name val="Book Antiqua"/>
      <family val="1"/>
    </font>
    <font>
      <sz val="10"/>
      <color rgb="FFFF0000"/>
      <name val="Book Antiqua"/>
      <family val="1"/>
    </font>
    <font>
      <u/>
      <sz val="11"/>
      <color theme="10"/>
      <name val="Calibri"/>
      <family val="2"/>
      <scheme val="minor"/>
    </font>
    <font>
      <sz val="10"/>
      <color theme="1"/>
      <name val="Book Antiqua"/>
      <family val="1"/>
    </font>
    <font>
      <b/>
      <sz val="10"/>
      <color rgb="FFFF0000"/>
      <name val="Book Antiqua"/>
      <family val="1"/>
    </font>
    <font>
      <b/>
      <sz val="12"/>
      <color theme="1"/>
      <name val="Book Antiqua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1"/>
      <name val="Calibri"/>
      <family val="2"/>
      <scheme val="minor"/>
    </font>
    <font>
      <b/>
      <sz val="10"/>
      <name val="Book Antiqua"/>
      <family val="1"/>
    </font>
    <font>
      <b/>
      <sz val="12"/>
      <color rgb="FFFF0000"/>
      <name val="Book Antiqua"/>
      <family val="1"/>
    </font>
    <font>
      <b/>
      <sz val="10"/>
      <color rgb="FF00B050"/>
      <name val="Book Antiqua"/>
      <family val="1"/>
    </font>
    <font>
      <b/>
      <sz val="10"/>
      <color theme="1"/>
      <name val="Book Antiqua"/>
      <family val="1"/>
    </font>
    <font>
      <b/>
      <sz val="10"/>
      <color rgb="FFC00000"/>
      <name val="Book Antiqua"/>
      <family val="1"/>
    </font>
    <font>
      <sz val="10"/>
      <color rgb="FF00B050"/>
      <name val="Book Antiqua"/>
      <family val="1"/>
    </font>
    <font>
      <sz val="10"/>
      <name val="Book Antiqua"/>
      <family val="1"/>
    </font>
    <font>
      <strike/>
      <sz val="10"/>
      <color theme="1"/>
      <name val="Book Antiqua"/>
      <family val="1"/>
    </font>
    <font>
      <i/>
      <sz val="10"/>
      <color rgb="FF00B050"/>
      <name val="Book Antiqua"/>
      <family val="1"/>
    </font>
    <font>
      <i/>
      <sz val="10"/>
      <name val="Book Antiqua"/>
      <family val="1"/>
    </font>
    <font>
      <sz val="14"/>
      <color theme="1"/>
      <name val="Wingdings"/>
      <charset val="2"/>
    </font>
    <font>
      <sz val="8"/>
      <color theme="1"/>
      <name val="Book Antiqua"/>
      <family val="1"/>
    </font>
    <font>
      <b/>
      <sz val="10"/>
      <color rgb="FF7030A0"/>
      <name val="Book Antiqua"/>
      <family val="1"/>
    </font>
    <font>
      <b/>
      <sz val="9"/>
      <color rgb="FF00B050"/>
      <name val="Book Antiqua"/>
      <family val="1"/>
    </font>
    <font>
      <b/>
      <sz val="9"/>
      <name val="Book Antiqua"/>
      <family val="1"/>
    </font>
    <font>
      <b/>
      <sz val="14"/>
      <color rgb="FFFF0000"/>
      <name val="Book Antiqua"/>
      <family val="1"/>
    </font>
    <font>
      <b/>
      <sz val="10"/>
      <color theme="5"/>
      <name val="Book Antiqua"/>
      <family val="1"/>
    </font>
    <font>
      <b/>
      <sz val="14"/>
      <color theme="1"/>
      <name val="Book Antiqua"/>
      <family val="1"/>
    </font>
    <font>
      <b/>
      <u/>
      <sz val="14"/>
      <color theme="1"/>
      <name val="Book Antiqua"/>
      <family val="1"/>
    </font>
    <font>
      <b/>
      <sz val="10"/>
      <color rgb="FFFD23ED"/>
      <name val="Book Antiqua"/>
      <family val="1"/>
    </font>
    <font>
      <b/>
      <u/>
      <sz val="14"/>
      <color theme="10"/>
      <name val="Book Antiqua"/>
      <family val="1"/>
    </font>
    <font>
      <b/>
      <sz val="20"/>
      <color theme="1"/>
      <name val="Book Antiqua"/>
      <family val="1"/>
    </font>
    <font>
      <b/>
      <sz val="10"/>
      <color rgb="FF00B0F0"/>
      <name val="Book Antiqua"/>
      <family val="1"/>
    </font>
    <font>
      <b/>
      <sz val="11"/>
      <color theme="0"/>
      <name val="Calibri"/>
      <family val="2"/>
      <scheme val="minor"/>
    </font>
    <font>
      <b/>
      <sz val="10"/>
      <color theme="5" tint="-0.499984740745262"/>
      <name val="Book Antiqua"/>
      <family val="1"/>
    </font>
    <font>
      <b/>
      <sz val="10"/>
      <color theme="9" tint="-0.249977111117893"/>
      <name val="Book Antiqua"/>
      <family val="1"/>
    </font>
    <font>
      <i/>
      <sz val="11"/>
      <color theme="0"/>
      <name val="Calibri"/>
      <family val="2"/>
      <scheme val="minor"/>
    </font>
    <font>
      <b/>
      <sz val="30"/>
      <color rgb="FFFF0000"/>
      <name val="Book Antiqua"/>
      <family val="1"/>
    </font>
    <font>
      <b/>
      <sz val="14"/>
      <name val="Book Antiqua"/>
      <family val="1"/>
    </font>
    <font>
      <b/>
      <sz val="16"/>
      <name val="Book Antiqua"/>
      <family val="1"/>
    </font>
    <font>
      <sz val="14"/>
      <color theme="1"/>
      <name val="Book Antiqua"/>
      <family val="1"/>
    </font>
    <font>
      <b/>
      <i/>
      <sz val="10"/>
      <color rgb="FF00B050"/>
      <name val="Book Antiqua"/>
      <family val="1"/>
    </font>
    <font>
      <b/>
      <sz val="19"/>
      <color rgb="FFFF0000"/>
      <name val="Book Antiqua"/>
      <family val="1"/>
    </font>
    <font>
      <b/>
      <sz val="25"/>
      <color rgb="FFFF0000"/>
      <name val="Book Antiqua"/>
      <family val="1"/>
    </font>
    <font>
      <b/>
      <sz val="12"/>
      <name val="Book Antiqua"/>
      <family val="1"/>
    </font>
    <font>
      <b/>
      <sz val="10"/>
      <color rgb="FF0070C0"/>
      <name val="Book Antiqua"/>
      <family val="1"/>
    </font>
    <font>
      <b/>
      <u/>
      <sz val="14"/>
      <name val="Book Antiqua"/>
      <family val="1"/>
    </font>
    <font>
      <b/>
      <sz val="8"/>
      <name val="Book Antiqua"/>
      <family val="1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color rgb="FFC00000"/>
      <name val="Book Antiqua"/>
      <family val="1"/>
    </font>
    <font>
      <i/>
      <sz val="10"/>
      <color rgb="FFC00000"/>
      <name val="Book Antiqua"/>
      <family val="1"/>
    </font>
    <font>
      <b/>
      <i/>
      <sz val="10"/>
      <color rgb="FFC00000"/>
      <name val="Book Antiqua"/>
      <family val="1"/>
    </font>
    <font>
      <b/>
      <sz val="8"/>
      <color theme="0"/>
      <name val="Book Antiqua"/>
      <family val="1"/>
    </font>
    <font>
      <b/>
      <sz val="8"/>
      <color rgb="FF00B050"/>
      <name val="Book Antiqua"/>
      <family val="1"/>
    </font>
    <font>
      <b/>
      <sz val="14"/>
      <color rgb="FF00B050"/>
      <name val="Wingdings"/>
      <charset val="2"/>
    </font>
    <font>
      <b/>
      <sz val="10"/>
      <color rgb="FF89E3B8"/>
      <name val="Book Antiqua"/>
      <family val="1"/>
    </font>
    <font>
      <b/>
      <i/>
      <sz val="11"/>
      <color theme="1"/>
      <name val="Calibri"/>
      <family val="2"/>
      <scheme val="minor"/>
    </font>
    <font>
      <b/>
      <sz val="10"/>
      <color rgb="FFCC3399"/>
      <name val="Book Antiqua"/>
      <family val="1"/>
    </font>
    <font>
      <b/>
      <sz val="10"/>
      <color theme="2" tint="-0.499984740745262"/>
      <name val="Book Antiqua"/>
      <family val="1"/>
    </font>
    <font>
      <b/>
      <i/>
      <sz val="11"/>
      <color rgb="FFFF0000"/>
      <name val="Calibri"/>
      <family val="2"/>
      <scheme val="minor"/>
    </font>
    <font>
      <strike/>
      <sz val="10"/>
      <color rgb="FF00B050"/>
      <name val="Book Antiqua"/>
      <family val="1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9" tint="-0.499984740745262"/>
      <name val="Book Antiqua"/>
      <family val="1"/>
    </font>
    <font>
      <i/>
      <sz val="10"/>
      <color rgb="FFFF0000"/>
      <name val="Book Antiqua"/>
      <family val="1"/>
    </font>
    <font>
      <i/>
      <sz val="14"/>
      <color theme="1"/>
      <name val="Wingdings"/>
      <charset val="2"/>
    </font>
    <font>
      <b/>
      <sz val="16"/>
      <color theme="1"/>
      <name val="Book Antiqua"/>
      <family val="1"/>
    </font>
    <font>
      <b/>
      <sz val="15"/>
      <color theme="1"/>
      <name val="Book Antiqua"/>
      <family val="1"/>
    </font>
    <font>
      <b/>
      <u/>
      <sz val="15"/>
      <color theme="1"/>
      <name val="Book Antiqua"/>
      <family val="1"/>
    </font>
    <font>
      <b/>
      <sz val="15"/>
      <color rgb="FF00B050"/>
      <name val="Book Antiqua"/>
      <family val="1"/>
    </font>
    <font>
      <b/>
      <sz val="15"/>
      <color rgb="FFC00000"/>
      <name val="Book Antiqua"/>
      <family val="1"/>
    </font>
    <font>
      <b/>
      <sz val="11"/>
      <color rgb="FF00B050"/>
      <name val="Book Antiqua"/>
      <family val="1"/>
    </font>
    <font>
      <b/>
      <i/>
      <sz val="14"/>
      <color theme="1"/>
      <name val="Book Antiqua"/>
      <family val="1"/>
    </font>
    <font>
      <b/>
      <i/>
      <sz val="12"/>
      <name val="Book Antiqua"/>
      <family val="1"/>
    </font>
    <font>
      <b/>
      <i/>
      <sz val="14"/>
      <name val="Book Antiqua"/>
      <family val="1"/>
    </font>
    <font>
      <b/>
      <i/>
      <sz val="8"/>
      <color theme="0"/>
      <name val="Book Antiqua"/>
      <family val="1"/>
    </font>
    <font>
      <b/>
      <i/>
      <sz val="8"/>
      <name val="Book Antiqua"/>
      <family val="1"/>
    </font>
    <font>
      <b/>
      <sz val="14"/>
      <color theme="1"/>
      <name val="Wingdings"/>
      <charset val="2"/>
    </font>
    <font>
      <u/>
      <sz val="12"/>
      <color theme="10"/>
      <name val="Book Antiqua"/>
      <family val="1"/>
    </font>
    <font>
      <b/>
      <sz val="8"/>
      <color theme="1"/>
      <name val="Book Antiqua"/>
      <family val="1"/>
    </font>
    <font>
      <sz val="11"/>
      <color theme="1"/>
      <name val="Book Antiqua"/>
      <family val="1"/>
    </font>
    <font>
      <b/>
      <sz val="11"/>
      <name val="Book Antiqua"/>
      <family val="1"/>
    </font>
    <font>
      <sz val="9"/>
      <color theme="1"/>
      <name val="Book Antiqua"/>
      <family val="1"/>
    </font>
    <font>
      <i/>
      <sz val="9"/>
      <color theme="1"/>
      <name val="Book Antiqua"/>
      <family val="1"/>
    </font>
    <font>
      <b/>
      <sz val="18"/>
      <color theme="0"/>
      <name val="Book Antiqua"/>
      <family val="1"/>
    </font>
    <font>
      <b/>
      <i/>
      <sz val="18"/>
      <color theme="0"/>
      <name val="Book Antiqua"/>
      <family val="1"/>
    </font>
    <font>
      <b/>
      <sz val="10"/>
      <color theme="4"/>
      <name val="Book Antiqua"/>
      <family val="1"/>
    </font>
    <font>
      <b/>
      <u/>
      <sz val="12"/>
      <color theme="10"/>
      <name val="Book Antiqua"/>
      <family val="1"/>
    </font>
    <font>
      <b/>
      <sz val="13"/>
      <color rgb="FFFF0000"/>
      <name val="Book Antiqua"/>
      <family val="1"/>
    </font>
    <font>
      <b/>
      <sz val="20"/>
      <color rgb="FFFF0000"/>
      <name val="Book Antiqua"/>
      <family val="1"/>
    </font>
    <font>
      <b/>
      <i/>
      <sz val="9"/>
      <name val="Book Antiqua"/>
      <family val="1"/>
    </font>
    <font>
      <i/>
      <sz val="9"/>
      <color rgb="FFC00000"/>
      <name val="Book Antiqua"/>
      <family val="1"/>
    </font>
    <font>
      <sz val="9"/>
      <color theme="1"/>
      <name val="Wingdings"/>
      <charset val="2"/>
    </font>
    <font>
      <sz val="11"/>
      <color rgb="FFFF0000"/>
      <name val="Calibri"/>
      <family val="2"/>
      <scheme val="minor"/>
    </font>
    <font>
      <b/>
      <sz val="8"/>
      <color theme="8" tint="0.59999389629810485"/>
      <name val="Book Antiqua"/>
      <family val="1"/>
    </font>
    <font>
      <b/>
      <sz val="8"/>
      <color theme="9" tint="0.79998168889431442"/>
      <name val="Book Antiqua"/>
      <family val="1"/>
    </font>
    <font>
      <b/>
      <i/>
      <sz val="10"/>
      <color theme="0"/>
      <name val="Book Antiqua"/>
      <family val="1"/>
    </font>
    <font>
      <b/>
      <sz val="10"/>
      <color theme="0"/>
      <name val="Book Antiqua"/>
      <family val="1"/>
    </font>
    <font>
      <b/>
      <sz val="20"/>
      <color rgb="FF00B050"/>
      <name val="Book Antiqua"/>
      <family val="1"/>
    </font>
    <font>
      <b/>
      <sz val="20"/>
      <color rgb="FFC00000"/>
      <name val="Book Antiqua"/>
      <family val="1"/>
    </font>
    <font>
      <b/>
      <sz val="10"/>
      <color theme="7"/>
      <name val="Book Antiqua"/>
      <family val="1"/>
    </font>
    <font>
      <b/>
      <sz val="10"/>
      <color theme="7" tint="-0.249977111117893"/>
      <name val="Book Antiqua"/>
      <family val="1"/>
    </font>
    <font>
      <b/>
      <i/>
      <sz val="12"/>
      <color theme="7" tint="0.59999389629810485"/>
      <name val="Book Antiqua"/>
      <family val="1"/>
    </font>
    <font>
      <b/>
      <sz val="10"/>
      <color theme="7" tint="-0.499984740745262"/>
      <name val="Book Antiqua"/>
      <family val="1"/>
    </font>
    <font>
      <b/>
      <sz val="23"/>
      <color theme="1"/>
      <name val="Book Antiqua"/>
      <family val="1"/>
    </font>
    <font>
      <b/>
      <sz val="23"/>
      <color rgb="FFFF0000"/>
      <name val="Book Antiqua"/>
      <family val="1"/>
    </font>
    <font>
      <b/>
      <sz val="23"/>
      <color rgb="FF00B050"/>
      <name val="Book Antiqua"/>
      <family val="1"/>
    </font>
    <font>
      <b/>
      <sz val="23"/>
      <color rgb="FF0070C0"/>
      <name val="Book Antiqua"/>
      <family val="1"/>
    </font>
    <font>
      <b/>
      <sz val="11"/>
      <color theme="1"/>
      <name val="Book Antiqua"/>
      <family val="1"/>
    </font>
    <font>
      <b/>
      <u/>
      <sz val="11"/>
      <color theme="10"/>
      <name val="Book Antiqua"/>
      <family val="1"/>
    </font>
    <font>
      <i/>
      <sz val="9"/>
      <color rgb="FFFF0000"/>
      <name val="Book Antiqua"/>
      <family val="1"/>
    </font>
    <font>
      <i/>
      <strike/>
      <sz val="10"/>
      <name val="Book Antiqua"/>
      <family val="1"/>
    </font>
    <font>
      <b/>
      <sz val="10"/>
      <color theme="6"/>
      <name val="Book Antiqua"/>
      <family val="1"/>
    </font>
    <font>
      <b/>
      <i/>
      <sz val="20"/>
      <color theme="1"/>
      <name val="Book Antiqua"/>
      <family val="1"/>
    </font>
    <font>
      <b/>
      <sz val="12"/>
      <color theme="7" tint="0.59999389629810485"/>
      <name val="Book Antiqua"/>
      <family val="1"/>
    </font>
  </fonts>
  <fills count="2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 style="medium">
        <color rgb="FFFF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indexed="64"/>
      </left>
      <right/>
      <top style="medium">
        <color rgb="FFFF0000"/>
      </top>
      <bottom/>
      <diagonal/>
    </border>
    <border>
      <left/>
      <right style="medium">
        <color indexed="64"/>
      </right>
      <top style="medium">
        <color rgb="FFFF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90" fillId="0" borderId="0" applyNumberFormat="0" applyFill="0" applyBorder="0" applyAlignment="0" applyProtection="0"/>
  </cellStyleXfs>
  <cellXfs count="1036">
    <xf numFmtId="0" fontId="0" fillId="0" borderId="0" xfId="0"/>
    <xf numFmtId="0" fontId="10" fillId="3" borderId="0" xfId="0" applyFont="1" applyFill="1"/>
    <xf numFmtId="0" fontId="15" fillId="3" borderId="0" xfId="0" applyFont="1" applyFill="1"/>
    <xf numFmtId="3" fontId="1" fillId="0" borderId="0" xfId="0" applyNumberFormat="1" applyFont="1"/>
    <xf numFmtId="2" fontId="1" fillId="0" borderId="0" xfId="0" applyNumberFormat="1" applyFont="1"/>
    <xf numFmtId="0" fontId="6" fillId="0" borderId="0" xfId="0" applyFont="1"/>
    <xf numFmtId="3" fontId="0" fillId="0" borderId="0" xfId="0" applyNumberFormat="1"/>
    <xf numFmtId="2" fontId="6" fillId="0" borderId="0" xfId="0" applyNumberFormat="1" applyFont="1"/>
    <xf numFmtId="3" fontId="3" fillId="0" borderId="0" xfId="0" applyNumberFormat="1" applyFont="1"/>
    <xf numFmtId="0" fontId="4" fillId="0" borderId="0" xfId="0" applyFont="1"/>
    <xf numFmtId="2" fontId="3" fillId="0" borderId="0" xfId="0" applyNumberFormat="1" applyFont="1"/>
    <xf numFmtId="2" fontId="20" fillId="0" borderId="0" xfId="0" applyNumberFormat="1" applyFont="1"/>
    <xf numFmtId="0" fontId="1" fillId="0" borderId="0" xfId="0" applyFont="1"/>
    <xf numFmtId="0" fontId="20" fillId="0" borderId="0" xfId="0" applyFont="1"/>
    <xf numFmtId="2" fontId="4" fillId="0" borderId="0" xfId="0" applyNumberFormat="1" applyFont="1"/>
    <xf numFmtId="2" fontId="1" fillId="0" borderId="34" xfId="0" applyNumberFormat="1" applyFont="1" applyBorder="1"/>
    <xf numFmtId="2" fontId="1" fillId="0" borderId="36" xfId="0" applyNumberFormat="1" applyFont="1" applyBorder="1"/>
    <xf numFmtId="2" fontId="6" fillId="0" borderId="37" xfId="0" applyNumberFormat="1" applyFont="1" applyBorder="1"/>
    <xf numFmtId="2" fontId="6" fillId="0" borderId="39" xfId="0" applyNumberFormat="1" applyFont="1" applyBorder="1"/>
    <xf numFmtId="2" fontId="1" fillId="0" borderId="39" xfId="0" applyNumberFormat="1" applyFont="1" applyBorder="1"/>
    <xf numFmtId="4" fontId="1" fillId="0" borderId="0" xfId="0" applyNumberFormat="1" applyFont="1"/>
    <xf numFmtId="4" fontId="0" fillId="0" borderId="0" xfId="0" applyNumberFormat="1"/>
    <xf numFmtId="1" fontId="1" fillId="0" borderId="0" xfId="0" applyNumberFormat="1" applyFont="1"/>
    <xf numFmtId="0" fontId="15" fillId="6" borderId="0" xfId="0" applyFont="1" applyFill="1"/>
    <xf numFmtId="0" fontId="9" fillId="6" borderId="0" xfId="0" applyFont="1" applyFill="1"/>
    <xf numFmtId="2" fontId="20" fillId="0" borderId="35" xfId="0" applyNumberFormat="1" applyFont="1" applyBorder="1"/>
    <xf numFmtId="2" fontId="3" fillId="0" borderId="39" xfId="0" applyNumberFormat="1" applyFont="1" applyBorder="1"/>
    <xf numFmtId="2" fontId="20" fillId="0" borderId="39" xfId="0" applyNumberFormat="1" applyFont="1" applyBorder="1"/>
    <xf numFmtId="0" fontId="13" fillId="6" borderId="0" xfId="0" applyFont="1" applyFill="1"/>
    <xf numFmtId="0" fontId="24" fillId="6" borderId="0" xfId="0" applyFont="1" applyFill="1" applyAlignment="1">
      <alignment horizontal="center" vertical="center"/>
    </xf>
    <xf numFmtId="3" fontId="23" fillId="6" borderId="28" xfId="0" applyNumberFormat="1" applyFont="1" applyFill="1" applyBorder="1" applyAlignment="1">
      <alignment horizontal="center" vertical="center"/>
    </xf>
    <xf numFmtId="3" fontId="26" fillId="6" borderId="5" xfId="0" applyNumberFormat="1" applyFont="1" applyFill="1" applyBorder="1" applyAlignment="1">
      <alignment vertical="center"/>
    </xf>
    <xf numFmtId="3" fontId="23" fillId="6" borderId="11" xfId="0" applyNumberFormat="1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/>
    </xf>
    <xf numFmtId="2" fontId="23" fillId="6" borderId="0" xfId="0" applyNumberFormat="1" applyFont="1" applyFill="1" applyAlignment="1">
      <alignment horizontal="center" vertical="center"/>
    </xf>
    <xf numFmtId="3" fontId="15" fillId="6" borderId="0" xfId="0" applyNumberFormat="1" applyFont="1" applyFill="1"/>
    <xf numFmtId="0" fontId="15" fillId="3" borderId="0" xfId="0" applyFont="1" applyFill="1" applyAlignment="1">
      <alignment vertical="center"/>
    </xf>
    <xf numFmtId="3" fontId="27" fillId="6" borderId="5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3" fontId="24" fillId="6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23" fillId="6" borderId="0" xfId="0" applyFont="1" applyFill="1" applyAlignment="1">
      <alignment horizontal="right" vertical="center"/>
    </xf>
    <xf numFmtId="3" fontId="13" fillId="6" borderId="0" xfId="0" applyNumberFormat="1" applyFont="1" applyFill="1" applyAlignment="1">
      <alignment horizontal="center" vertical="center"/>
    </xf>
    <xf numFmtId="0" fontId="26" fillId="6" borderId="0" xfId="0" applyFont="1" applyFill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28" fillId="0" borderId="0" xfId="0" applyFont="1" applyAlignment="1">
      <alignment vertical="center"/>
    </xf>
    <xf numFmtId="165" fontId="15" fillId="0" borderId="7" xfId="0" quotePrefix="1" applyNumberFormat="1" applyFont="1" applyBorder="1" applyAlignment="1">
      <alignment horizontal="right" vertical="center"/>
    </xf>
    <xf numFmtId="0" fontId="15" fillId="0" borderId="0" xfId="0" applyFont="1"/>
    <xf numFmtId="0" fontId="13" fillId="6" borderId="0" xfId="0" applyFont="1" applyFill="1" applyAlignment="1">
      <alignment vertical="center"/>
    </xf>
    <xf numFmtId="0" fontId="9" fillId="0" borderId="0" xfId="0" applyFont="1"/>
    <xf numFmtId="0" fontId="21" fillId="6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20" fontId="26" fillId="6" borderId="0" xfId="0" applyNumberFormat="1" applyFont="1" applyFill="1" applyAlignment="1">
      <alignment horizontal="center" vertical="center"/>
    </xf>
    <xf numFmtId="169" fontId="26" fillId="6" borderId="0" xfId="0" applyNumberFormat="1" applyFont="1" applyFill="1" applyAlignment="1">
      <alignment vertical="center"/>
    </xf>
    <xf numFmtId="170" fontId="26" fillId="6" borderId="0" xfId="0" applyNumberFormat="1" applyFont="1" applyFill="1" applyAlignment="1">
      <alignment vertical="center"/>
    </xf>
    <xf numFmtId="164" fontId="26" fillId="6" borderId="5" xfId="0" applyNumberFormat="1" applyFont="1" applyFill="1" applyBorder="1" applyAlignment="1">
      <alignment vertical="center"/>
    </xf>
    <xf numFmtId="1" fontId="26" fillId="6" borderId="5" xfId="0" applyNumberFormat="1" applyFont="1" applyFill="1" applyBorder="1" applyAlignment="1">
      <alignment vertical="center"/>
    </xf>
    <xf numFmtId="164" fontId="26" fillId="6" borderId="0" xfId="0" applyNumberFormat="1" applyFont="1" applyFill="1" applyAlignment="1">
      <alignment vertical="center"/>
    </xf>
    <xf numFmtId="165" fontId="29" fillId="6" borderId="0" xfId="0" applyNumberFormat="1" applyFont="1" applyFill="1" applyAlignment="1">
      <alignment vertical="center"/>
    </xf>
    <xf numFmtId="165" fontId="26" fillId="6" borderId="0" xfId="0" applyNumberFormat="1" applyFont="1" applyFill="1" applyAlignment="1">
      <alignment vertical="center"/>
    </xf>
    <xf numFmtId="164" fontId="13" fillId="6" borderId="0" xfId="0" applyNumberFormat="1" applyFont="1" applyFill="1" applyAlignment="1">
      <alignment vertical="center"/>
    </xf>
    <xf numFmtId="0" fontId="26" fillId="3" borderId="0" xfId="0" applyFont="1" applyFill="1"/>
    <xf numFmtId="164" fontId="23" fillId="6" borderId="5" xfId="0" applyNumberFormat="1" applyFont="1" applyFill="1" applyBorder="1" applyAlignment="1">
      <alignment vertical="center"/>
    </xf>
    <xf numFmtId="3" fontId="23" fillId="6" borderId="5" xfId="0" applyNumberFormat="1" applyFont="1" applyFill="1" applyBorder="1" applyAlignment="1">
      <alignment vertical="center"/>
    </xf>
    <xf numFmtId="3" fontId="26" fillId="6" borderId="0" xfId="0" applyNumberFormat="1" applyFont="1" applyFill="1" applyAlignment="1">
      <alignment vertical="center"/>
    </xf>
    <xf numFmtId="0" fontId="26" fillId="6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right" vertical="center"/>
    </xf>
    <xf numFmtId="0" fontId="27" fillId="6" borderId="0" xfId="0" applyFont="1" applyFill="1" applyAlignment="1">
      <alignment horizontal="center" vertical="center"/>
    </xf>
    <xf numFmtId="168" fontId="27" fillId="6" borderId="0" xfId="0" applyNumberFormat="1" applyFont="1" applyFill="1" applyAlignment="1">
      <alignment vertical="center"/>
    </xf>
    <xf numFmtId="172" fontId="27" fillId="6" borderId="0" xfId="0" applyNumberFormat="1" applyFont="1" applyFill="1" applyAlignment="1">
      <alignment horizontal="center" vertical="center"/>
    </xf>
    <xf numFmtId="20" fontId="27" fillId="6" borderId="0" xfId="0" applyNumberFormat="1" applyFont="1" applyFill="1" applyAlignment="1">
      <alignment horizontal="center" vertical="center"/>
    </xf>
    <xf numFmtId="169" fontId="27" fillId="6" borderId="0" xfId="0" applyNumberFormat="1" applyFont="1" applyFill="1" applyAlignment="1">
      <alignment vertical="center"/>
    </xf>
    <xf numFmtId="170" fontId="27" fillId="6" borderId="0" xfId="0" applyNumberFormat="1" applyFont="1" applyFill="1" applyAlignment="1">
      <alignment vertical="center"/>
    </xf>
    <xf numFmtId="165" fontId="30" fillId="6" borderId="0" xfId="0" applyNumberFormat="1" applyFont="1" applyFill="1" applyAlignment="1">
      <alignment vertical="center"/>
    </xf>
    <xf numFmtId="165" fontId="27" fillId="6" borderId="0" xfId="0" applyNumberFormat="1" applyFont="1" applyFill="1" applyAlignment="1">
      <alignment vertical="center"/>
    </xf>
    <xf numFmtId="164" fontId="27" fillId="6" borderId="0" xfId="0" applyNumberFormat="1" applyFont="1" applyFill="1" applyAlignment="1">
      <alignment vertical="center"/>
    </xf>
    <xf numFmtId="3" fontId="27" fillId="6" borderId="0" xfId="0" applyNumberFormat="1" applyFont="1" applyFill="1" applyAlignment="1">
      <alignment vertical="center"/>
    </xf>
    <xf numFmtId="0" fontId="27" fillId="3" borderId="0" xfId="0" applyFont="1" applyFill="1"/>
    <xf numFmtId="0" fontId="27" fillId="6" borderId="0" xfId="0" applyFont="1" applyFill="1"/>
    <xf numFmtId="0" fontId="21" fillId="6" borderId="0" xfId="0" applyFont="1" applyFill="1" applyAlignment="1">
      <alignment horizontal="center" vertical="center"/>
    </xf>
    <xf numFmtId="164" fontId="21" fillId="6" borderId="0" xfId="0" applyNumberFormat="1" applyFont="1" applyFill="1" applyAlignment="1">
      <alignment vertical="center"/>
    </xf>
    <xf numFmtId="3" fontId="21" fillId="6" borderId="0" xfId="0" applyNumberFormat="1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3" fontId="21" fillId="6" borderId="0" xfId="0" applyNumberFormat="1" applyFont="1" applyFill="1" applyAlignment="1">
      <alignment vertical="center"/>
    </xf>
    <xf numFmtId="3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right"/>
    </xf>
    <xf numFmtId="0" fontId="15" fillId="4" borderId="0" xfId="0" applyFont="1" applyFill="1"/>
    <xf numFmtId="165" fontId="15" fillId="6" borderId="0" xfId="0" applyNumberFormat="1" applyFont="1" applyFill="1"/>
    <xf numFmtId="165" fontId="13" fillId="6" borderId="0" xfId="0" applyNumberFormat="1" applyFont="1" applyFill="1"/>
    <xf numFmtId="0" fontId="31" fillId="0" borderId="4" xfId="0" applyFont="1" applyBorder="1" applyAlignment="1">
      <alignment horizontal="center" vertical="center"/>
    </xf>
    <xf numFmtId="0" fontId="15" fillId="9" borderId="0" xfId="0" applyFont="1" applyFill="1"/>
    <xf numFmtId="0" fontId="15" fillId="9" borderId="0" xfId="0" applyFont="1" applyFill="1" applyAlignment="1">
      <alignment vertical="center"/>
    </xf>
    <xf numFmtId="0" fontId="15" fillId="9" borderId="0" xfId="0" applyFont="1" applyFill="1" applyAlignment="1">
      <alignment horizontal="center" vertical="center"/>
    </xf>
    <xf numFmtId="0" fontId="28" fillId="9" borderId="0" xfId="0" applyFont="1" applyFill="1" applyAlignment="1">
      <alignment vertical="center"/>
    </xf>
    <xf numFmtId="0" fontId="9" fillId="9" borderId="0" xfId="0" applyFont="1" applyFill="1"/>
    <xf numFmtId="0" fontId="10" fillId="9" borderId="0" xfId="0" applyFont="1" applyFill="1"/>
    <xf numFmtId="3" fontId="13" fillId="9" borderId="0" xfId="0" applyNumberFormat="1" applyFont="1" applyFill="1" applyAlignment="1">
      <alignment horizontal="center"/>
    </xf>
    <xf numFmtId="3" fontId="21" fillId="9" borderId="0" xfId="0" applyNumberFormat="1" applyFont="1" applyFill="1" applyAlignment="1">
      <alignment horizontal="center"/>
    </xf>
    <xf numFmtId="14" fontId="26" fillId="9" borderId="0" xfId="0" applyNumberFormat="1" applyFont="1" applyFill="1" applyAlignment="1">
      <alignment horizontal="center"/>
    </xf>
    <xf numFmtId="14" fontId="27" fillId="9" borderId="0" xfId="0" applyNumberFormat="1" applyFont="1" applyFill="1" applyAlignment="1">
      <alignment horizontal="center"/>
    </xf>
    <xf numFmtId="0" fontId="27" fillId="9" borderId="0" xfId="0" applyFont="1" applyFill="1"/>
    <xf numFmtId="4" fontId="16" fillId="9" borderId="0" xfId="0" applyNumberFormat="1" applyFont="1" applyFill="1" applyAlignment="1">
      <alignment horizontal="center" vertical="center"/>
    </xf>
    <xf numFmtId="165" fontId="16" fillId="9" borderId="0" xfId="0" applyNumberFormat="1" applyFont="1" applyFill="1" applyAlignment="1">
      <alignment horizontal="right"/>
    </xf>
    <xf numFmtId="165" fontId="15" fillId="9" borderId="0" xfId="0" applyNumberFormat="1" applyFont="1" applyFill="1" applyAlignment="1">
      <alignment horizontal="right"/>
    </xf>
    <xf numFmtId="0" fontId="21" fillId="9" borderId="0" xfId="0" applyFont="1" applyFill="1" applyAlignment="1">
      <alignment horizontal="center"/>
    </xf>
    <xf numFmtId="0" fontId="26" fillId="9" borderId="0" xfId="0" applyFont="1" applyFill="1"/>
    <xf numFmtId="0" fontId="15" fillId="9" borderId="0" xfId="0" applyFont="1" applyFill="1" applyAlignment="1">
      <alignment horizontal="center"/>
    </xf>
    <xf numFmtId="164" fontId="15" fillId="9" borderId="0" xfId="0" applyNumberFormat="1" applyFont="1" applyFill="1" applyAlignment="1">
      <alignment horizontal="center"/>
    </xf>
    <xf numFmtId="165" fontId="15" fillId="9" borderId="0" xfId="0" applyNumberFormat="1" applyFont="1" applyFill="1" applyAlignment="1">
      <alignment horizontal="left"/>
    </xf>
    <xf numFmtId="3" fontId="16" fillId="9" borderId="0" xfId="0" applyNumberFormat="1" applyFont="1" applyFill="1" applyAlignment="1">
      <alignment horizontal="center" vertical="center"/>
    </xf>
    <xf numFmtId="164" fontId="24" fillId="9" borderId="0" xfId="0" applyNumberFormat="1" applyFont="1" applyFill="1" applyAlignment="1">
      <alignment vertical="center"/>
    </xf>
    <xf numFmtId="164" fontId="15" fillId="9" borderId="0" xfId="0" applyNumberFormat="1" applyFont="1" applyFill="1" applyAlignment="1">
      <alignment horizontal="center" vertical="center"/>
    </xf>
    <xf numFmtId="165" fontId="16" fillId="9" borderId="0" xfId="0" applyNumberFormat="1" applyFont="1" applyFill="1" applyAlignment="1">
      <alignment horizontal="right" vertical="center"/>
    </xf>
    <xf numFmtId="165" fontId="24" fillId="9" borderId="0" xfId="0" applyNumberFormat="1" applyFont="1" applyFill="1" applyAlignment="1">
      <alignment horizontal="right" vertical="center"/>
    </xf>
    <xf numFmtId="165" fontId="8" fillId="9" borderId="0" xfId="0" applyNumberFormat="1" applyFont="1" applyFill="1" applyAlignment="1">
      <alignment horizontal="right"/>
    </xf>
    <xf numFmtId="165" fontId="9" fillId="9" borderId="0" xfId="0" applyNumberFormat="1" applyFont="1" applyFill="1" applyAlignment="1">
      <alignment horizontal="right"/>
    </xf>
    <xf numFmtId="165" fontId="15" fillId="9" borderId="0" xfId="0" applyNumberFormat="1" applyFont="1" applyFill="1"/>
    <xf numFmtId="166" fontId="15" fillId="9" borderId="0" xfId="0" applyNumberFormat="1" applyFont="1" applyFill="1"/>
    <xf numFmtId="3" fontId="13" fillId="9" borderId="0" xfId="0" applyNumberFormat="1" applyFont="1" applyFill="1" applyAlignment="1">
      <alignment horizontal="left"/>
    </xf>
    <xf numFmtId="164" fontId="16" fillId="9" borderId="0" xfId="0" applyNumberFormat="1" applyFont="1" applyFill="1" applyAlignment="1">
      <alignment horizontal="right"/>
    </xf>
    <xf numFmtId="3" fontId="27" fillId="9" borderId="0" xfId="0" applyNumberFormat="1" applyFont="1" applyFill="1" applyAlignment="1">
      <alignment horizontal="center"/>
    </xf>
    <xf numFmtId="3" fontId="13" fillId="9" borderId="1" xfId="0" applyNumberFormat="1" applyFont="1" applyFill="1" applyBorder="1" applyAlignment="1">
      <alignment horizontal="center"/>
    </xf>
    <xf numFmtId="165" fontId="24" fillId="10" borderId="7" xfId="0" applyNumberFormat="1" applyFont="1" applyFill="1" applyBorder="1" applyAlignment="1">
      <alignment horizontal="center" vertical="center" wrapText="1"/>
    </xf>
    <xf numFmtId="173" fontId="35" fillId="9" borderId="0" xfId="0" applyNumberFormat="1" applyFont="1" applyFill="1" applyAlignment="1">
      <alignment horizontal="left"/>
    </xf>
    <xf numFmtId="164" fontId="24" fillId="10" borderId="4" xfId="0" applyNumberFormat="1" applyFont="1" applyFill="1" applyBorder="1" applyAlignment="1">
      <alignment horizontal="center" vertical="center" wrapText="1"/>
    </xf>
    <xf numFmtId="164" fontId="24" fillId="10" borderId="5" xfId="0" applyNumberFormat="1" applyFont="1" applyFill="1" applyBorder="1" applyAlignment="1">
      <alignment horizontal="center" vertical="center" wrapText="1"/>
    </xf>
    <xf numFmtId="164" fontId="24" fillId="10" borderId="6" xfId="0" applyNumberFormat="1" applyFont="1" applyFill="1" applyBorder="1" applyAlignment="1">
      <alignment horizontal="center" vertical="center" wrapText="1"/>
    </xf>
    <xf numFmtId="164" fontId="15" fillId="6" borderId="0" xfId="0" applyNumberFormat="1" applyFont="1" applyFill="1"/>
    <xf numFmtId="3" fontId="23" fillId="9" borderId="0" xfId="0" applyNumberFormat="1" applyFont="1" applyFill="1" applyAlignment="1">
      <alignment horizontal="right"/>
    </xf>
    <xf numFmtId="9" fontId="9" fillId="10" borderId="10" xfId="0" applyNumberFormat="1" applyFont="1" applyFill="1" applyBorder="1" applyAlignment="1">
      <alignment horizontal="center" vertical="center"/>
    </xf>
    <xf numFmtId="9" fontId="9" fillId="10" borderId="16" xfId="0" applyNumberFormat="1" applyFont="1" applyFill="1" applyBorder="1" applyAlignment="1">
      <alignment horizontal="center" vertical="center"/>
    </xf>
    <xf numFmtId="164" fontId="9" fillId="10" borderId="5" xfId="0" applyNumberFormat="1" applyFont="1" applyFill="1" applyBorder="1" applyAlignment="1">
      <alignment horizontal="center" vertical="center"/>
    </xf>
    <xf numFmtId="164" fontId="9" fillId="10" borderId="29" xfId="0" applyNumberFormat="1" applyFont="1" applyFill="1" applyBorder="1" applyAlignment="1">
      <alignment horizontal="center" vertical="center"/>
    </xf>
    <xf numFmtId="0" fontId="38" fillId="10" borderId="4" xfId="0" applyFont="1" applyFill="1" applyBorder="1" applyAlignment="1">
      <alignment horizontal="center" vertical="center"/>
    </xf>
    <xf numFmtId="0" fontId="38" fillId="10" borderId="5" xfId="0" applyFont="1" applyFill="1" applyBorder="1" applyAlignment="1">
      <alignment horizontal="center" vertical="center"/>
    </xf>
    <xf numFmtId="165" fontId="38" fillId="10" borderId="7" xfId="0" applyNumberFormat="1" applyFont="1" applyFill="1" applyBorder="1" applyAlignment="1">
      <alignment horizontal="center" vertical="center" wrapText="1"/>
    </xf>
    <xf numFmtId="3" fontId="21" fillId="10" borderId="46" xfId="0" applyNumberFormat="1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vertical="center"/>
    </xf>
    <xf numFmtId="0" fontId="15" fillId="7" borderId="5" xfId="0" applyFont="1" applyFill="1" applyBorder="1" applyAlignment="1">
      <alignment horizontal="left" vertical="center"/>
    </xf>
    <xf numFmtId="165" fontId="15" fillId="7" borderId="7" xfId="0" quotePrefix="1" applyNumberFormat="1" applyFont="1" applyFill="1" applyBorder="1" applyAlignment="1">
      <alignment horizontal="right" vertical="center"/>
    </xf>
    <xf numFmtId="165" fontId="15" fillId="7" borderId="7" xfId="0" quotePrefix="1" applyNumberFormat="1" applyFont="1" applyFill="1" applyBorder="1" applyAlignment="1">
      <alignment horizontal="left" vertical="center"/>
    </xf>
    <xf numFmtId="3" fontId="21" fillId="6" borderId="0" xfId="0" applyNumberFormat="1" applyFont="1" applyFill="1"/>
    <xf numFmtId="3" fontId="16" fillId="9" borderId="0" xfId="0" applyNumberFormat="1" applyFont="1" applyFill="1" applyAlignment="1">
      <alignment horizontal="right"/>
    </xf>
    <xf numFmtId="164" fontId="24" fillId="9" borderId="5" xfId="0" applyNumberFormat="1" applyFont="1" applyFill="1" applyBorder="1" applyAlignment="1">
      <alignment horizontal="left" vertical="center"/>
    </xf>
    <xf numFmtId="164" fontId="24" fillId="9" borderId="10" xfId="0" applyNumberFormat="1" applyFont="1" applyFill="1" applyBorder="1" applyAlignment="1">
      <alignment horizontal="left" vertical="center"/>
    </xf>
    <xf numFmtId="164" fontId="13" fillId="6" borderId="0" xfId="0" applyNumberFormat="1" applyFont="1" applyFill="1" applyAlignment="1">
      <alignment horizontal="center" vertical="center"/>
    </xf>
    <xf numFmtId="164" fontId="16" fillId="6" borderId="5" xfId="0" applyNumberFormat="1" applyFont="1" applyFill="1" applyBorder="1" applyAlignment="1">
      <alignment horizontal="center"/>
    </xf>
    <xf numFmtId="164" fontId="23" fillId="6" borderId="5" xfId="0" applyNumberFormat="1" applyFont="1" applyFill="1" applyBorder="1" applyAlignment="1">
      <alignment horizontal="center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164" fontId="24" fillId="9" borderId="0" xfId="0" applyNumberFormat="1" applyFont="1" applyFill="1" applyAlignment="1">
      <alignment horizontal="center" vertical="center"/>
    </xf>
    <xf numFmtId="0" fontId="26" fillId="9" borderId="0" xfId="0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0" fontId="15" fillId="7" borderId="4" xfId="0" quotePrefix="1" applyFont="1" applyFill="1" applyBorder="1" applyAlignment="1">
      <alignment horizontal="center" vertical="center"/>
    </xf>
    <xf numFmtId="164" fontId="9" fillId="11" borderId="10" xfId="0" applyNumberFormat="1" applyFont="1" applyFill="1" applyBorder="1" applyAlignment="1">
      <alignment horizontal="center" vertical="center"/>
    </xf>
    <xf numFmtId="164" fontId="9" fillId="11" borderId="16" xfId="0" applyNumberFormat="1" applyFont="1" applyFill="1" applyBorder="1" applyAlignment="1">
      <alignment horizontal="center" vertical="center"/>
    </xf>
    <xf numFmtId="164" fontId="9" fillId="11" borderId="5" xfId="0" applyNumberFormat="1" applyFont="1" applyFill="1" applyBorder="1" applyAlignment="1">
      <alignment horizontal="center" vertical="center"/>
    </xf>
    <xf numFmtId="164" fontId="9" fillId="11" borderId="29" xfId="0" applyNumberFormat="1" applyFont="1" applyFill="1" applyBorder="1" applyAlignment="1">
      <alignment horizontal="center" vertical="center"/>
    </xf>
    <xf numFmtId="9" fontId="9" fillId="11" borderId="10" xfId="0" applyNumberFormat="1" applyFont="1" applyFill="1" applyBorder="1" applyAlignment="1">
      <alignment horizontal="center" vertical="center"/>
    </xf>
    <xf numFmtId="9" fontId="9" fillId="11" borderId="16" xfId="0" applyNumberFormat="1" applyFont="1" applyFill="1" applyBorder="1" applyAlignment="1">
      <alignment horizontal="center" vertical="center"/>
    </xf>
    <xf numFmtId="3" fontId="43" fillId="9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3" fontId="16" fillId="6" borderId="5" xfId="0" applyNumberFormat="1" applyFont="1" applyFill="1" applyBorder="1" applyAlignment="1">
      <alignment horizontal="center"/>
    </xf>
    <xf numFmtId="3" fontId="23" fillId="6" borderId="5" xfId="0" applyNumberFormat="1" applyFont="1" applyFill="1" applyBorder="1" applyAlignment="1">
      <alignment horizontal="center"/>
    </xf>
    <xf numFmtId="3" fontId="45" fillId="9" borderId="0" xfId="0" applyNumberFormat="1" applyFont="1" applyFill="1" applyAlignment="1">
      <alignment horizontal="right"/>
    </xf>
    <xf numFmtId="2" fontId="44" fillId="13" borderId="34" xfId="0" applyNumberFormat="1" applyFont="1" applyFill="1" applyBorder="1"/>
    <xf numFmtId="2" fontId="47" fillId="13" borderId="0" xfId="0" applyNumberFormat="1" applyFont="1" applyFill="1"/>
    <xf numFmtId="2" fontId="44" fillId="14" borderId="0" xfId="0" applyNumberFormat="1" applyFont="1" applyFill="1"/>
    <xf numFmtId="2" fontId="47" fillId="14" borderId="0" xfId="0" applyNumberFormat="1" applyFont="1" applyFill="1"/>
    <xf numFmtId="2" fontId="44" fillId="15" borderId="0" xfId="0" applyNumberFormat="1" applyFont="1" applyFill="1"/>
    <xf numFmtId="2" fontId="47" fillId="15" borderId="0" xfId="0" applyNumberFormat="1" applyFont="1" applyFill="1"/>
    <xf numFmtId="2" fontId="1" fillId="16" borderId="0" xfId="0" applyNumberFormat="1" applyFont="1" applyFill="1"/>
    <xf numFmtId="2" fontId="6" fillId="16" borderId="35" xfId="0" applyNumberFormat="1" applyFont="1" applyFill="1" applyBorder="1"/>
    <xf numFmtId="165" fontId="15" fillId="7" borderId="11" xfId="0" quotePrefix="1" applyNumberFormat="1" applyFont="1" applyFill="1" applyBorder="1" applyAlignment="1">
      <alignment horizontal="left" vertical="center"/>
    </xf>
    <xf numFmtId="3" fontId="46" fillId="9" borderId="0" xfId="0" applyNumberFormat="1" applyFont="1" applyFill="1" applyAlignment="1">
      <alignment horizontal="right"/>
    </xf>
    <xf numFmtId="0" fontId="24" fillId="9" borderId="0" xfId="0" applyFont="1" applyFill="1" applyAlignment="1">
      <alignment wrapText="1"/>
    </xf>
    <xf numFmtId="0" fontId="24" fillId="9" borderId="0" xfId="0" applyFont="1" applyFill="1" applyAlignment="1">
      <alignment horizontal="center" wrapText="1"/>
    </xf>
    <xf numFmtId="0" fontId="38" fillId="9" borderId="0" xfId="0" applyFont="1" applyFill="1" applyAlignment="1">
      <alignment horizontal="center"/>
    </xf>
    <xf numFmtId="0" fontId="24" fillId="9" borderId="0" xfId="0" applyFont="1" applyFill="1" applyAlignment="1">
      <alignment horizontal="center"/>
    </xf>
    <xf numFmtId="0" fontId="24" fillId="9" borderId="0" xfId="0" applyFont="1" applyFill="1"/>
    <xf numFmtId="4" fontId="50" fillId="9" borderId="38" xfId="0" applyNumberFormat="1" applyFont="1" applyFill="1" applyBorder="1" applyAlignment="1">
      <alignment vertical="center" wrapText="1"/>
    </xf>
    <xf numFmtId="0" fontId="51" fillId="9" borderId="0" xfId="0" applyFont="1" applyFill="1" applyAlignment="1">
      <alignment horizontal="center"/>
    </xf>
    <xf numFmtId="0" fontId="38" fillId="9" borderId="0" xfId="0" applyFont="1" applyFill="1" applyAlignment="1">
      <alignment horizontal="center" vertical="center" wrapText="1"/>
    </xf>
    <xf numFmtId="4" fontId="49" fillId="9" borderId="0" xfId="0" applyNumberFormat="1" applyFont="1" applyFill="1" applyAlignment="1">
      <alignment horizontal="center" vertical="center" wrapText="1"/>
    </xf>
    <xf numFmtId="3" fontId="23" fillId="6" borderId="7" xfId="0" applyNumberFormat="1" applyFont="1" applyFill="1" applyBorder="1" applyAlignment="1">
      <alignment horizontal="center" vertical="center"/>
    </xf>
    <xf numFmtId="0" fontId="24" fillId="6" borderId="0" xfId="0" applyFont="1" applyFill="1" applyAlignment="1">
      <alignment horizontal="left"/>
    </xf>
    <xf numFmtId="0" fontId="24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/>
    </xf>
    <xf numFmtId="0" fontId="15" fillId="6" borderId="0" xfId="0" applyFont="1" applyFill="1" applyAlignment="1">
      <alignment horizontal="left"/>
    </xf>
    <xf numFmtId="164" fontId="52" fillId="6" borderId="5" xfId="0" applyNumberFormat="1" applyFont="1" applyFill="1" applyBorder="1" applyAlignment="1">
      <alignment vertical="center"/>
    </xf>
    <xf numFmtId="3" fontId="52" fillId="6" borderId="5" xfId="0" applyNumberFormat="1" applyFont="1" applyFill="1" applyBorder="1" applyAlignment="1">
      <alignment vertical="center"/>
    </xf>
    <xf numFmtId="4" fontId="27" fillId="6" borderId="6" xfId="0" applyNumberFormat="1" applyFont="1" applyFill="1" applyBorder="1" applyAlignment="1">
      <alignment vertical="center"/>
    </xf>
    <xf numFmtId="0" fontId="24" fillId="9" borderId="47" xfId="0" applyFont="1" applyFill="1" applyBorder="1" applyAlignment="1">
      <alignment wrapText="1"/>
    </xf>
    <xf numFmtId="3" fontId="16" fillId="6" borderId="0" xfId="0" applyNumberFormat="1" applyFont="1" applyFill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165" fontId="9" fillId="0" borderId="7" xfId="0" quotePrefix="1" applyNumberFormat="1" applyFont="1" applyBorder="1" applyAlignment="1">
      <alignment horizontal="right" vertical="center"/>
    </xf>
    <xf numFmtId="165" fontId="9" fillId="0" borderId="7" xfId="0" quotePrefix="1" applyNumberFormat="1" applyFont="1" applyBorder="1" applyAlignment="1">
      <alignment horizontal="left" vertical="center"/>
    </xf>
    <xf numFmtId="0" fontId="16" fillId="9" borderId="0" xfId="0" applyFont="1" applyFill="1" applyAlignment="1">
      <alignment horizontal="center"/>
    </xf>
    <xf numFmtId="0" fontId="23" fillId="9" borderId="42" xfId="0" applyFont="1" applyFill="1" applyBorder="1" applyAlignment="1">
      <alignment horizontal="center"/>
    </xf>
    <xf numFmtId="0" fontId="16" fillId="9" borderId="0" xfId="0" applyFont="1" applyFill="1" applyAlignment="1">
      <alignment horizontal="center" vertical="center" wrapText="1"/>
    </xf>
    <xf numFmtId="0" fontId="23" fillId="9" borderId="42" xfId="0" applyFont="1" applyFill="1" applyBorder="1" applyAlignment="1">
      <alignment horizontal="center" vertical="center" wrapText="1"/>
    </xf>
    <xf numFmtId="164" fontId="23" fillId="9" borderId="54" xfId="0" applyNumberFormat="1" applyFont="1" applyFill="1" applyBorder="1" applyAlignment="1">
      <alignment horizontal="right"/>
    </xf>
    <xf numFmtId="164" fontId="26" fillId="9" borderId="0" xfId="0" applyNumberFormat="1" applyFont="1" applyFill="1"/>
    <xf numFmtId="164" fontId="26" fillId="9" borderId="42" xfId="0" applyNumberFormat="1" applyFont="1" applyFill="1" applyBorder="1"/>
    <xf numFmtId="164" fontId="23" fillId="9" borderId="42" xfId="0" applyNumberFormat="1" applyFont="1" applyFill="1" applyBorder="1" applyAlignment="1">
      <alignment horizontal="right"/>
    </xf>
    <xf numFmtId="164" fontId="40" fillId="9" borderId="54" xfId="0" applyNumberFormat="1" applyFont="1" applyFill="1" applyBorder="1" applyAlignment="1">
      <alignment horizontal="right"/>
    </xf>
    <xf numFmtId="3" fontId="23" fillId="9" borderId="54" xfId="0" applyNumberFormat="1" applyFont="1" applyFill="1" applyBorder="1" applyAlignment="1">
      <alignment horizontal="right"/>
    </xf>
    <xf numFmtId="0" fontId="26" fillId="9" borderId="42" xfId="0" applyFont="1" applyFill="1" applyBorder="1"/>
    <xf numFmtId="3" fontId="16" fillId="9" borderId="47" xfId="0" applyNumberFormat="1" applyFont="1" applyFill="1" applyBorder="1" applyAlignment="1">
      <alignment horizontal="right"/>
    </xf>
    <xf numFmtId="0" fontId="16" fillId="9" borderId="54" xfId="0" applyFont="1" applyFill="1" applyBorder="1" applyAlignment="1">
      <alignment horizontal="center"/>
    </xf>
    <xf numFmtId="0" fontId="16" fillId="9" borderId="54" xfId="0" applyFont="1" applyFill="1" applyBorder="1" applyAlignment="1">
      <alignment horizontal="center" vertical="center" wrapText="1"/>
    </xf>
    <xf numFmtId="164" fontId="26" fillId="9" borderId="54" xfId="0" applyNumberFormat="1" applyFont="1" applyFill="1" applyBorder="1" applyAlignment="1">
      <alignment horizontal="right"/>
    </xf>
    <xf numFmtId="164" fontId="26" fillId="9" borderId="42" xfId="0" applyNumberFormat="1" applyFont="1" applyFill="1" applyBorder="1" applyAlignment="1">
      <alignment horizontal="right"/>
    </xf>
    <xf numFmtId="164" fontId="33" fillId="9" borderId="54" xfId="0" applyNumberFormat="1" applyFont="1" applyFill="1" applyBorder="1"/>
    <xf numFmtId="164" fontId="37" fillId="9" borderId="42" xfId="0" applyNumberFormat="1" applyFont="1" applyFill="1" applyBorder="1"/>
    <xf numFmtId="3" fontId="23" fillId="9" borderId="42" xfId="0" applyNumberFormat="1" applyFont="1" applyFill="1" applyBorder="1" applyAlignment="1">
      <alignment horizontal="right"/>
    </xf>
    <xf numFmtId="164" fontId="45" fillId="9" borderId="54" xfId="0" applyNumberFormat="1" applyFont="1" applyFill="1" applyBorder="1"/>
    <xf numFmtId="3" fontId="45" fillId="6" borderId="0" xfId="0" applyNumberFormat="1" applyFont="1" applyFill="1" applyAlignment="1">
      <alignment horizontal="right"/>
    </xf>
    <xf numFmtId="165" fontId="16" fillId="6" borderId="0" xfId="0" applyNumberFormat="1" applyFont="1" applyFill="1" applyAlignment="1">
      <alignment horizontal="right"/>
    </xf>
    <xf numFmtId="0" fontId="15" fillId="9" borderId="4" xfId="0" applyFont="1" applyFill="1" applyBorder="1" applyAlignment="1">
      <alignment vertical="center"/>
    </xf>
    <xf numFmtId="164" fontId="46" fillId="9" borderId="0" xfId="0" applyNumberFormat="1" applyFont="1" applyFill="1"/>
    <xf numFmtId="3" fontId="21" fillId="9" borderId="0" xfId="0" applyNumberFormat="1" applyFont="1" applyFill="1" applyAlignment="1">
      <alignment horizontal="right"/>
    </xf>
    <xf numFmtId="0" fontId="33" fillId="9" borderId="54" xfId="0" applyFont="1" applyFill="1" applyBorder="1" applyAlignment="1">
      <alignment horizontal="center" vertical="center"/>
    </xf>
    <xf numFmtId="0" fontId="49" fillId="10" borderId="4" xfId="0" applyFont="1" applyFill="1" applyBorder="1" applyAlignment="1">
      <alignment horizontal="center" vertical="center"/>
    </xf>
    <xf numFmtId="0" fontId="49" fillId="10" borderId="5" xfId="0" applyFont="1" applyFill="1" applyBorder="1" applyAlignment="1">
      <alignment horizontal="center" vertical="center"/>
    </xf>
    <xf numFmtId="164" fontId="49" fillId="10" borderId="4" xfId="0" applyNumberFormat="1" applyFont="1" applyFill="1" applyBorder="1" applyAlignment="1">
      <alignment horizontal="center" vertical="center"/>
    </xf>
    <xf numFmtId="164" fontId="49" fillId="10" borderId="5" xfId="0" applyNumberFormat="1" applyFont="1" applyFill="1" applyBorder="1" applyAlignment="1">
      <alignment horizontal="center" vertical="center"/>
    </xf>
    <xf numFmtId="0" fontId="44" fillId="19" borderId="62" xfId="0" applyFont="1" applyFill="1" applyBorder="1"/>
    <xf numFmtId="0" fontId="0" fillId="0" borderId="0" xfId="0" applyAlignment="1">
      <alignment horizontal="center"/>
    </xf>
    <xf numFmtId="2" fontId="47" fillId="13" borderId="0" xfId="0" applyNumberFormat="1" applyFont="1" applyFill="1" applyAlignment="1">
      <alignment horizontal="center"/>
    </xf>
    <xf numFmtId="2" fontId="44" fillId="13" borderId="0" xfId="0" applyNumberFormat="1" applyFont="1" applyFill="1" applyAlignment="1">
      <alignment horizontal="center"/>
    </xf>
    <xf numFmtId="2" fontId="44" fillId="14" borderId="0" xfId="0" applyNumberFormat="1" applyFont="1" applyFill="1" applyAlignment="1">
      <alignment horizontal="center"/>
    </xf>
    <xf numFmtId="2" fontId="44" fillId="15" borderId="0" xfId="0" applyNumberFormat="1" applyFont="1" applyFill="1" applyAlignment="1">
      <alignment horizontal="center"/>
    </xf>
    <xf numFmtId="2" fontId="47" fillId="15" borderId="0" xfId="0" applyNumberFormat="1" applyFont="1" applyFill="1" applyAlignment="1">
      <alignment horizontal="center"/>
    </xf>
    <xf numFmtId="2" fontId="1" fillId="16" borderId="0" xfId="0" applyNumberFormat="1" applyFont="1" applyFill="1" applyAlignment="1">
      <alignment horizontal="center"/>
    </xf>
    <xf numFmtId="2" fontId="6" fillId="16" borderId="35" xfId="0" applyNumberFormat="1" applyFont="1" applyFill="1" applyBorder="1" applyAlignment="1">
      <alignment horizontal="center"/>
    </xf>
    <xf numFmtId="2" fontId="47" fillId="13" borderId="35" xfId="0" applyNumberFormat="1" applyFont="1" applyFill="1" applyBorder="1" applyAlignment="1">
      <alignment horizontal="center"/>
    </xf>
    <xf numFmtId="2" fontId="47" fillId="14" borderId="35" xfId="0" applyNumberFormat="1" applyFont="1" applyFill="1" applyBorder="1" applyAlignment="1">
      <alignment horizontal="center"/>
    </xf>
    <xf numFmtId="2" fontId="44" fillId="17" borderId="0" xfId="0" applyNumberFormat="1" applyFont="1" applyFill="1" applyAlignment="1">
      <alignment horizontal="center"/>
    </xf>
    <xf numFmtId="2" fontId="47" fillId="17" borderId="35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2" fontId="44" fillId="14" borderId="5" xfId="0" applyNumberFormat="1" applyFont="1" applyFill="1" applyBorder="1" applyAlignment="1">
      <alignment horizontal="center"/>
    </xf>
    <xf numFmtId="2" fontId="59" fillId="14" borderId="5" xfId="0" applyNumberFormat="1" applyFont="1" applyFill="1" applyBorder="1" applyAlignment="1">
      <alignment horizontal="center"/>
    </xf>
    <xf numFmtId="2" fontId="0" fillId="0" borderId="0" xfId="0" applyNumberFormat="1"/>
    <xf numFmtId="2" fontId="44" fillId="14" borderId="2" xfId="0" applyNumberFormat="1" applyFont="1" applyFill="1" applyBorder="1" applyAlignment="1">
      <alignment horizontal="center"/>
    </xf>
    <xf numFmtId="2" fontId="59" fillId="14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24" fillId="9" borderId="25" xfId="0" applyNumberFormat="1" applyFont="1" applyFill="1" applyBorder="1" applyAlignment="1">
      <alignment vertical="center"/>
    </xf>
    <xf numFmtId="164" fontId="24" fillId="9" borderId="25" xfId="0" applyNumberFormat="1" applyFont="1" applyFill="1" applyBorder="1" applyAlignment="1">
      <alignment horizontal="center" vertical="center"/>
    </xf>
    <xf numFmtId="164" fontId="15" fillId="9" borderId="25" xfId="0" applyNumberFormat="1" applyFont="1" applyFill="1" applyBorder="1" applyAlignment="1">
      <alignment horizontal="center" vertical="center"/>
    </xf>
    <xf numFmtId="165" fontId="62" fillId="0" borderId="7" xfId="0" quotePrefix="1" applyNumberFormat="1" applyFont="1" applyBorder="1" applyAlignment="1">
      <alignment horizontal="right" vertical="center"/>
    </xf>
    <xf numFmtId="165" fontId="61" fillId="7" borderId="7" xfId="0" quotePrefix="1" applyNumberFormat="1" applyFont="1" applyFill="1" applyBorder="1" applyAlignment="1">
      <alignment horizontal="right" vertical="center"/>
    </xf>
    <xf numFmtId="165" fontId="25" fillId="10" borderId="7" xfId="0" applyNumberFormat="1" applyFont="1" applyFill="1" applyBorder="1" applyAlignment="1">
      <alignment horizontal="center" vertical="center" wrapText="1"/>
    </xf>
    <xf numFmtId="164" fontId="61" fillId="9" borderId="5" xfId="0" applyNumberFormat="1" applyFont="1" applyFill="1" applyBorder="1" applyAlignment="1">
      <alignment horizontal="center" vertical="center"/>
    </xf>
    <xf numFmtId="164" fontId="61" fillId="9" borderId="29" xfId="0" applyNumberFormat="1" applyFont="1" applyFill="1" applyBorder="1" applyAlignment="1">
      <alignment horizontal="center" vertical="center"/>
    </xf>
    <xf numFmtId="164" fontId="61" fillId="9" borderId="10" xfId="0" applyNumberFormat="1" applyFont="1" applyFill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3" fontId="21" fillId="6" borderId="24" xfId="0" applyNumberFormat="1" applyFont="1" applyFill="1" applyBorder="1" applyAlignment="1">
      <alignment vertical="center"/>
    </xf>
    <xf numFmtId="167" fontId="1" fillId="20" borderId="43" xfId="0" applyNumberFormat="1" applyFont="1" applyFill="1" applyBorder="1"/>
    <xf numFmtId="167" fontId="1" fillId="0" borderId="43" xfId="0" applyNumberFormat="1" applyFont="1" applyBorder="1"/>
    <xf numFmtId="167" fontId="3" fillId="0" borderId="43" xfId="0" applyNumberFormat="1" applyFont="1" applyBorder="1"/>
    <xf numFmtId="167" fontId="3" fillId="20" borderId="43" xfId="0" applyNumberFormat="1" applyFont="1" applyFill="1" applyBorder="1"/>
    <xf numFmtId="2" fontId="44" fillId="13" borderId="63" xfId="0" applyNumberFormat="1" applyFont="1" applyFill="1" applyBorder="1"/>
    <xf numFmtId="2" fontId="60" fillId="13" borderId="43" xfId="0" applyNumberFormat="1" applyFont="1" applyFill="1" applyBorder="1"/>
    <xf numFmtId="3" fontId="44" fillId="19" borderId="43" xfId="0" applyNumberFormat="1" applyFont="1" applyFill="1" applyBorder="1"/>
    <xf numFmtId="2" fontId="44" fillId="15" borderId="43" xfId="0" applyNumberFormat="1" applyFont="1" applyFill="1" applyBorder="1"/>
    <xf numFmtId="2" fontId="60" fillId="15" borderId="43" xfId="0" applyNumberFormat="1" applyFont="1" applyFill="1" applyBorder="1"/>
    <xf numFmtId="2" fontId="44" fillId="14" borderId="43" xfId="0" applyNumberFormat="1" applyFont="1" applyFill="1" applyBorder="1"/>
    <xf numFmtId="2" fontId="60" fillId="14" borderId="43" xfId="0" applyNumberFormat="1" applyFont="1" applyFill="1" applyBorder="1"/>
    <xf numFmtId="2" fontId="44" fillId="16" borderId="43" xfId="0" applyNumberFormat="1" applyFont="1" applyFill="1" applyBorder="1"/>
    <xf numFmtId="2" fontId="60" fillId="16" borderId="64" xfId="0" applyNumberFormat="1" applyFont="1" applyFill="1" applyBorder="1"/>
    <xf numFmtId="2" fontId="60" fillId="16" borderId="43" xfId="0" applyNumberFormat="1" applyFont="1" applyFill="1" applyBorder="1"/>
    <xf numFmtId="0" fontId="44" fillId="19" borderId="43" xfId="0" applyFont="1" applyFill="1" applyBorder="1"/>
    <xf numFmtId="0" fontId="1" fillId="0" borderId="62" xfId="0" applyFont="1" applyBorder="1"/>
    <xf numFmtId="0" fontId="1" fillId="20" borderId="62" xfId="0" applyFont="1" applyFill="1" applyBorder="1"/>
    <xf numFmtId="0" fontId="21" fillId="6" borderId="2" xfId="0" applyFont="1" applyFill="1" applyBorder="1" applyAlignment="1">
      <alignment horizontal="center"/>
    </xf>
    <xf numFmtId="168" fontId="26" fillId="6" borderId="24" xfId="0" applyNumberFormat="1" applyFont="1" applyFill="1" applyBorder="1" applyAlignment="1">
      <alignment horizontal="right" vertical="center"/>
    </xf>
    <xf numFmtId="172" fontId="26" fillId="6" borderId="26" xfId="0" applyNumberFormat="1" applyFont="1" applyFill="1" applyBorder="1" applyAlignment="1">
      <alignment horizontal="center" vertical="center"/>
    </xf>
    <xf numFmtId="164" fontId="16" fillId="6" borderId="25" xfId="0" applyNumberFormat="1" applyFont="1" applyFill="1" applyBorder="1" applyAlignment="1">
      <alignment vertical="center"/>
    </xf>
    <xf numFmtId="0" fontId="16" fillId="6" borderId="25" xfId="0" applyFont="1" applyFill="1" applyBorder="1" applyAlignment="1">
      <alignment vertical="center"/>
    </xf>
    <xf numFmtId="3" fontId="16" fillId="6" borderId="25" xfId="0" applyNumberFormat="1" applyFont="1" applyFill="1" applyBorder="1" applyAlignment="1">
      <alignment vertical="center"/>
    </xf>
    <xf numFmtId="164" fontId="23" fillId="6" borderId="25" xfId="0" applyNumberFormat="1" applyFont="1" applyFill="1" applyBorder="1" applyAlignment="1">
      <alignment vertical="center"/>
    </xf>
    <xf numFmtId="0" fontId="21" fillId="9" borderId="42" xfId="0" applyFont="1" applyFill="1" applyBorder="1" applyAlignment="1">
      <alignment horizontal="center"/>
    </xf>
    <xf numFmtId="164" fontId="45" fillId="9" borderId="42" xfId="0" applyNumberFormat="1" applyFont="1" applyFill="1" applyBorder="1"/>
    <xf numFmtId="0" fontId="45" fillId="9" borderId="54" xfId="0" applyFont="1" applyFill="1" applyBorder="1" applyAlignment="1">
      <alignment horizontal="center"/>
    </xf>
    <xf numFmtId="0" fontId="45" fillId="9" borderId="54" xfId="0" applyFont="1" applyFill="1" applyBorder="1" applyAlignment="1">
      <alignment horizontal="center" vertical="center" wrapText="1"/>
    </xf>
    <xf numFmtId="164" fontId="21" fillId="9" borderId="0" xfId="0" applyNumberFormat="1" applyFont="1" applyFill="1"/>
    <xf numFmtId="3" fontId="46" fillId="9" borderId="47" xfId="0" applyNumberFormat="1" applyFont="1" applyFill="1" applyBorder="1" applyAlignment="1">
      <alignment horizontal="right"/>
    </xf>
    <xf numFmtId="0" fontId="69" fillId="9" borderId="54" xfId="0" applyFont="1" applyFill="1" applyBorder="1" applyAlignment="1">
      <alignment horizontal="center"/>
    </xf>
    <xf numFmtId="0" fontId="69" fillId="9" borderId="54" xfId="0" applyFont="1" applyFill="1" applyBorder="1" applyAlignment="1">
      <alignment horizontal="center" vertical="center" wrapText="1"/>
    </xf>
    <xf numFmtId="167" fontId="1" fillId="20" borderId="65" xfId="0" applyNumberFormat="1" applyFont="1" applyFill="1" applyBorder="1"/>
    <xf numFmtId="167" fontId="1" fillId="20" borderId="66" xfId="0" applyNumberFormat="1" applyFont="1" applyFill="1" applyBorder="1"/>
    <xf numFmtId="167" fontId="1" fillId="0" borderId="1" xfId="0" applyNumberFormat="1" applyFont="1" applyBorder="1"/>
    <xf numFmtId="167" fontId="1" fillId="0" borderId="65" xfId="0" applyNumberFormat="1" applyFont="1" applyBorder="1"/>
    <xf numFmtId="167" fontId="1" fillId="0" borderId="66" xfId="0" applyNumberFormat="1" applyFont="1" applyBorder="1"/>
    <xf numFmtId="167" fontId="1" fillId="20" borderId="1" xfId="0" applyNumberFormat="1" applyFont="1" applyFill="1" applyBorder="1"/>
    <xf numFmtId="167" fontId="3" fillId="0" borderId="66" xfId="0" applyNumberFormat="1" applyFont="1" applyBorder="1"/>
    <xf numFmtId="167" fontId="3" fillId="20" borderId="66" xfId="0" applyNumberFormat="1" applyFont="1" applyFill="1" applyBorder="1"/>
    <xf numFmtId="167" fontId="3" fillId="0" borderId="1" xfId="0" applyNumberFormat="1" applyFont="1" applyBorder="1"/>
    <xf numFmtId="167" fontId="3" fillId="0" borderId="65" xfId="0" applyNumberFormat="1" applyFont="1" applyBorder="1"/>
    <xf numFmtId="167" fontId="3" fillId="20" borderId="1" xfId="0" applyNumberFormat="1" applyFont="1" applyFill="1" applyBorder="1"/>
    <xf numFmtId="167" fontId="3" fillId="20" borderId="65" xfId="0" applyNumberFormat="1" applyFont="1" applyFill="1" applyBorder="1"/>
    <xf numFmtId="167" fontId="68" fillId="0" borderId="0" xfId="0" applyNumberFormat="1" applyFont="1"/>
    <xf numFmtId="167" fontId="68" fillId="0" borderId="1" xfId="0" applyNumberFormat="1" applyFont="1" applyBorder="1"/>
    <xf numFmtId="167" fontId="68" fillId="0" borderId="43" xfId="0" applyNumberFormat="1" applyFont="1" applyBorder="1"/>
    <xf numFmtId="167" fontId="68" fillId="0" borderId="65" xfId="0" applyNumberFormat="1" applyFont="1" applyBorder="1"/>
    <xf numFmtId="167" fontId="68" fillId="20" borderId="43" xfId="0" applyNumberFormat="1" applyFont="1" applyFill="1" applyBorder="1"/>
    <xf numFmtId="0" fontId="1" fillId="0" borderId="0" xfId="0" applyFont="1" applyAlignment="1">
      <alignment horizontal="center"/>
    </xf>
    <xf numFmtId="0" fontId="46" fillId="9" borderId="0" xfId="0" applyFont="1" applyFill="1" applyAlignment="1">
      <alignment horizontal="center"/>
    </xf>
    <xf numFmtId="0" fontId="46" fillId="9" borderId="0" xfId="0" applyFont="1" applyFill="1" applyAlignment="1">
      <alignment horizontal="center" vertical="center" wrapText="1"/>
    </xf>
    <xf numFmtId="164" fontId="46" fillId="9" borderId="54" xfId="0" applyNumberFormat="1" applyFont="1" applyFill="1" applyBorder="1"/>
    <xf numFmtId="3" fontId="23" fillId="6" borderId="25" xfId="0" applyNumberFormat="1" applyFont="1" applyFill="1" applyBorder="1" applyAlignment="1">
      <alignment vertical="center"/>
    </xf>
    <xf numFmtId="0" fontId="13" fillId="6" borderId="26" xfId="0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164" fontId="1" fillId="0" borderId="62" xfId="0" applyNumberFormat="1" applyFont="1" applyBorder="1"/>
    <xf numFmtId="164" fontId="1" fillId="20" borderId="62" xfId="0" applyNumberFormat="1" applyFont="1" applyFill="1" applyBorder="1"/>
    <xf numFmtId="164" fontId="3" fillId="20" borderId="62" xfId="0" applyNumberFormat="1" applyFont="1" applyFill="1" applyBorder="1"/>
    <xf numFmtId="3" fontId="1" fillId="0" borderId="62" xfId="0" applyNumberFormat="1" applyFont="1" applyBorder="1"/>
    <xf numFmtId="3" fontId="1" fillId="20" borderId="62" xfId="0" applyNumberFormat="1" applyFont="1" applyFill="1" applyBorder="1"/>
    <xf numFmtId="3" fontId="3" fillId="20" borderId="62" xfId="0" applyNumberFormat="1" applyFont="1" applyFill="1" applyBorder="1"/>
    <xf numFmtId="0" fontId="71" fillId="0" borderId="0" xfId="0" applyFont="1"/>
    <xf numFmtId="0" fontId="1" fillId="21" borderId="62" xfId="0" applyFont="1" applyFill="1" applyBorder="1"/>
    <xf numFmtId="0" fontId="0" fillId="21" borderId="0" xfId="0" applyFill="1"/>
    <xf numFmtId="167" fontId="1" fillId="0" borderId="0" xfId="0" applyNumberFormat="1" applyFont="1"/>
    <xf numFmtId="4" fontId="47" fillId="13" borderId="0" xfId="0" applyNumberFormat="1" applyFont="1" applyFill="1"/>
    <xf numFmtId="4" fontId="60" fillId="13" borderId="43" xfId="0" applyNumberFormat="1" applyFont="1" applyFill="1" applyBorder="1"/>
    <xf numFmtId="4" fontId="1" fillId="0" borderId="43" xfId="0" applyNumberFormat="1" applyFont="1" applyBorder="1"/>
    <xf numFmtId="4" fontId="1" fillId="20" borderId="43" xfId="0" applyNumberFormat="1" applyFont="1" applyFill="1" applyBorder="1"/>
    <xf numFmtId="4" fontId="1" fillId="20" borderId="65" xfId="0" applyNumberFormat="1" applyFont="1" applyFill="1" applyBorder="1"/>
    <xf numFmtId="4" fontId="1" fillId="20" borderId="66" xfId="0" applyNumberFormat="1" applyFont="1" applyFill="1" applyBorder="1"/>
    <xf numFmtId="4" fontId="3" fillId="0" borderId="0" xfId="0" applyNumberFormat="1" applyFont="1"/>
    <xf numFmtId="4" fontId="3" fillId="20" borderId="66" xfId="0" applyNumberFormat="1" applyFont="1" applyFill="1" applyBorder="1"/>
    <xf numFmtId="4" fontId="3" fillId="0" borderId="43" xfId="0" applyNumberFormat="1" applyFont="1" applyBorder="1"/>
    <xf numFmtId="4" fontId="3" fillId="20" borderId="43" xfId="0" applyNumberFormat="1" applyFont="1" applyFill="1" applyBorder="1"/>
    <xf numFmtId="4" fontId="1" fillId="0" borderId="62" xfId="0" applyNumberFormat="1" applyFont="1" applyBorder="1"/>
    <xf numFmtId="4" fontId="1" fillId="20" borderId="62" xfId="0" applyNumberFormat="1" applyFont="1" applyFill="1" applyBorder="1"/>
    <xf numFmtId="4" fontId="3" fillId="20" borderId="62" xfId="0" applyNumberFormat="1" applyFont="1" applyFill="1" applyBorder="1"/>
    <xf numFmtId="4" fontId="1" fillId="15" borderId="0" xfId="0" applyNumberFormat="1" applyFont="1" applyFill="1" applyAlignment="1">
      <alignment horizontal="center"/>
    </xf>
    <xf numFmtId="167" fontId="1" fillId="20" borderId="0" xfId="0" applyNumberFormat="1" applyFont="1" applyFill="1"/>
    <xf numFmtId="2" fontId="6" fillId="16" borderId="0" xfId="0" applyNumberFormat="1" applyFont="1" applyFill="1"/>
    <xf numFmtId="0" fontId="1" fillId="21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7" fontId="68" fillId="20" borderId="0" xfId="0" applyNumberFormat="1" applyFont="1" applyFill="1"/>
    <xf numFmtId="165" fontId="1" fillId="0" borderId="62" xfId="0" applyNumberFormat="1" applyFont="1" applyBorder="1"/>
    <xf numFmtId="165" fontId="1" fillId="20" borderId="62" xfId="0" applyNumberFormat="1" applyFont="1" applyFill="1" applyBorder="1"/>
    <xf numFmtId="165" fontId="3" fillId="20" borderId="62" xfId="0" applyNumberFormat="1" applyFont="1" applyFill="1" applyBorder="1"/>
    <xf numFmtId="4" fontId="1" fillId="0" borderId="1" xfId="0" applyNumberFormat="1" applyFont="1" applyBorder="1"/>
    <xf numFmtId="0" fontId="1" fillId="21" borderId="0" xfId="0" applyFont="1" applyFill="1"/>
    <xf numFmtId="0" fontId="2" fillId="0" borderId="43" xfId="0" applyFont="1" applyBorder="1" applyAlignment="1">
      <alignment horizontal="center"/>
    </xf>
    <xf numFmtId="0" fontId="26" fillId="9" borderId="4" xfId="0" quotePrefix="1" applyFont="1" applyFill="1" applyBorder="1" applyAlignment="1">
      <alignment horizontal="center" vertical="center"/>
    </xf>
    <xf numFmtId="0" fontId="26" fillId="9" borderId="5" xfId="0" applyFont="1" applyFill="1" applyBorder="1" applyAlignment="1">
      <alignment horizontal="left" vertical="center"/>
    </xf>
    <xf numFmtId="0" fontId="64" fillId="9" borderId="5" xfId="0" applyFont="1" applyFill="1" applyBorder="1" applyAlignment="1">
      <alignment horizontal="center" vertical="center"/>
    </xf>
    <xf numFmtId="0" fontId="65" fillId="9" borderId="5" xfId="0" applyFont="1" applyFill="1" applyBorder="1" applyAlignment="1">
      <alignment horizontal="center" vertical="center"/>
    </xf>
    <xf numFmtId="0" fontId="66" fillId="9" borderId="4" xfId="0" applyFont="1" applyFill="1" applyBorder="1" applyAlignment="1">
      <alignment horizontal="center" vertical="center"/>
    </xf>
    <xf numFmtId="165" fontId="61" fillId="9" borderId="7" xfId="0" quotePrefix="1" applyNumberFormat="1" applyFont="1" applyFill="1" applyBorder="1" applyAlignment="1">
      <alignment horizontal="right" vertical="center"/>
    </xf>
    <xf numFmtId="165" fontId="26" fillId="9" borderId="7" xfId="0" applyNumberFormat="1" applyFont="1" applyFill="1" applyBorder="1" applyAlignment="1">
      <alignment horizontal="left" vertical="center"/>
    </xf>
    <xf numFmtId="165" fontId="72" fillId="9" borderId="7" xfId="0" quotePrefix="1" applyNumberFormat="1" applyFont="1" applyFill="1" applyBorder="1" applyAlignment="1">
      <alignment horizontal="right" vertical="center"/>
    </xf>
    <xf numFmtId="0" fontId="9" fillId="3" borderId="0" xfId="0" applyFont="1" applyFill="1"/>
    <xf numFmtId="9" fontId="9" fillId="3" borderId="0" xfId="0" applyNumberFormat="1" applyFont="1" applyFill="1"/>
    <xf numFmtId="164" fontId="23" fillId="9" borderId="0" xfId="0" applyNumberFormat="1" applyFont="1" applyFill="1" applyAlignment="1">
      <alignment horizontal="right"/>
    </xf>
    <xf numFmtId="164" fontId="21" fillId="9" borderId="54" xfId="0" applyNumberFormat="1" applyFont="1" applyFill="1" applyBorder="1"/>
    <xf numFmtId="4" fontId="60" fillId="15" borderId="43" xfId="0" applyNumberFormat="1" applyFont="1" applyFill="1" applyBorder="1"/>
    <xf numFmtId="0" fontId="1" fillId="21" borderId="0" xfId="0" applyFont="1" applyFill="1" applyAlignment="1">
      <alignment horizontal="right"/>
    </xf>
    <xf numFmtId="3" fontId="1" fillId="22" borderId="0" xfId="0" applyNumberFormat="1" applyFont="1" applyFill="1"/>
    <xf numFmtId="167" fontId="6" fillId="0" borderId="0" xfId="0" applyNumberFormat="1" applyFont="1"/>
    <xf numFmtId="167" fontId="20" fillId="0" borderId="0" xfId="0" applyNumberFormat="1" applyFont="1"/>
    <xf numFmtId="167" fontId="6" fillId="0" borderId="0" xfId="0" applyNumberFormat="1" applyFont="1" applyAlignment="1">
      <alignment horizontal="right"/>
    </xf>
    <xf numFmtId="164" fontId="1" fillId="22" borderId="62" xfId="0" applyNumberFormat="1" applyFont="1" applyFill="1" applyBorder="1"/>
    <xf numFmtId="3" fontId="1" fillId="22" borderId="62" xfId="0" applyNumberFormat="1" applyFont="1" applyFill="1" applyBorder="1"/>
    <xf numFmtId="167" fontId="68" fillId="0" borderId="0" xfId="0" quotePrefix="1" applyNumberFormat="1" applyFont="1" applyAlignment="1">
      <alignment horizontal="center"/>
    </xf>
    <xf numFmtId="167" fontId="68" fillId="0" borderId="72" xfId="0" applyNumberFormat="1" applyFont="1" applyBorder="1"/>
    <xf numFmtId="167" fontId="73" fillId="0" borderId="0" xfId="0" applyNumberFormat="1" applyFont="1" applyAlignment="1">
      <alignment horizontal="center"/>
    </xf>
    <xf numFmtId="0" fontId="74" fillId="0" borderId="0" xfId="0" applyFon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" fontId="6" fillId="0" borderId="0" xfId="0" applyNumberFormat="1" applyFont="1"/>
    <xf numFmtId="0" fontId="6" fillId="0" borderId="0" xfId="0" applyFont="1" applyAlignment="1">
      <alignment horizontal="right"/>
    </xf>
    <xf numFmtId="2" fontId="60" fillId="14" borderId="67" xfId="0" applyNumberFormat="1" applyFont="1" applyFill="1" applyBorder="1"/>
    <xf numFmtId="167" fontId="1" fillId="23" borderId="1" xfId="0" applyNumberFormat="1" applyFont="1" applyFill="1" applyBorder="1"/>
    <xf numFmtId="167" fontId="1" fillId="22" borderId="43" xfId="0" applyNumberFormat="1" applyFont="1" applyFill="1" applyBorder="1"/>
    <xf numFmtId="167" fontId="1" fillId="23" borderId="43" xfId="0" applyNumberFormat="1" applyFont="1" applyFill="1" applyBorder="1"/>
    <xf numFmtId="167" fontId="1" fillId="22" borderId="65" xfId="0" applyNumberFormat="1" applyFont="1" applyFill="1" applyBorder="1"/>
    <xf numFmtId="4" fontId="1" fillId="22" borderId="62" xfId="0" applyNumberFormat="1" applyFont="1" applyFill="1" applyBorder="1"/>
    <xf numFmtId="4" fontId="1" fillId="22" borderId="0" xfId="0" applyNumberFormat="1" applyFont="1" applyFill="1"/>
    <xf numFmtId="164" fontId="23" fillId="9" borderId="54" xfId="0" applyNumberFormat="1" applyFont="1" applyFill="1" applyBorder="1"/>
    <xf numFmtId="164" fontId="23" fillId="9" borderId="0" xfId="0" applyNumberFormat="1" applyFont="1" applyFill="1"/>
    <xf numFmtId="164" fontId="23" fillId="9" borderId="42" xfId="0" applyNumberFormat="1" applyFont="1" applyFill="1" applyBorder="1"/>
    <xf numFmtId="164" fontId="26" fillId="9" borderId="54" xfId="0" applyNumberFormat="1" applyFont="1" applyFill="1" applyBorder="1"/>
    <xf numFmtId="168" fontId="26" fillId="6" borderId="0" xfId="0" applyNumberFormat="1" applyFont="1" applyFill="1" applyAlignment="1">
      <alignment horizontal="right" vertical="center"/>
    </xf>
    <xf numFmtId="172" fontId="26" fillId="6" borderId="0" xfId="0" applyNumberFormat="1" applyFont="1" applyFill="1" applyAlignment="1">
      <alignment horizontal="center" vertical="center"/>
    </xf>
    <xf numFmtId="1" fontId="23" fillId="6" borderId="6" xfId="0" applyNumberFormat="1" applyFont="1" applyFill="1" applyBorder="1" applyAlignment="1">
      <alignment vertical="center"/>
    </xf>
    <xf numFmtId="164" fontId="26" fillId="6" borderId="1" xfId="0" applyNumberFormat="1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0" fontId="26" fillId="6" borderId="0" xfId="0" applyFont="1" applyFill="1"/>
    <xf numFmtId="0" fontId="26" fillId="6" borderId="0" xfId="0" applyFont="1" applyFill="1" applyAlignment="1">
      <alignment horizontal="center"/>
    </xf>
    <xf numFmtId="3" fontId="26" fillId="6" borderId="0" xfId="0" applyNumberFormat="1" applyFont="1" applyFill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9" borderId="0" xfId="0" applyFont="1" applyFill="1" applyAlignment="1">
      <alignment horizontal="center" vertical="center" wrapText="1"/>
    </xf>
    <xf numFmtId="164" fontId="45" fillId="9" borderId="0" xfId="0" applyNumberFormat="1" applyFont="1" applyFill="1"/>
    <xf numFmtId="164" fontId="21" fillId="9" borderId="42" xfId="0" applyNumberFormat="1" applyFont="1" applyFill="1" applyBorder="1" applyAlignment="1">
      <alignment horizontal="right"/>
    </xf>
    <xf numFmtId="0" fontId="75" fillId="9" borderId="42" xfId="0" applyFont="1" applyFill="1" applyBorder="1" applyAlignment="1">
      <alignment horizontal="center" vertical="center" wrapText="1"/>
    </xf>
    <xf numFmtId="3" fontId="26" fillId="9" borderId="0" xfId="0" applyNumberFormat="1" applyFont="1" applyFill="1" applyAlignment="1">
      <alignment horizontal="center"/>
    </xf>
    <xf numFmtId="164" fontId="23" fillId="6" borderId="0" xfId="0" applyNumberFormat="1" applyFont="1" applyFill="1" applyAlignment="1">
      <alignment vertical="center"/>
    </xf>
    <xf numFmtId="3" fontId="23" fillId="6" borderId="0" xfId="0" applyNumberFormat="1" applyFont="1" applyFill="1" applyAlignment="1">
      <alignment vertical="center"/>
    </xf>
    <xf numFmtId="0" fontId="24" fillId="7" borderId="4" xfId="0" applyFont="1" applyFill="1" applyBorder="1" applyAlignment="1">
      <alignment vertical="center"/>
    </xf>
    <xf numFmtId="165" fontId="13" fillId="7" borderId="7" xfId="0" quotePrefix="1" applyNumberFormat="1" applyFont="1" applyFill="1" applyBorder="1" applyAlignment="1">
      <alignment horizontal="left" vertical="center"/>
    </xf>
    <xf numFmtId="165" fontId="9" fillId="9" borderId="0" xfId="0" applyNumberFormat="1" applyFont="1" applyFill="1"/>
    <xf numFmtId="0" fontId="31" fillId="3" borderId="0" xfId="0" applyFont="1" applyFill="1" applyAlignment="1">
      <alignment horizontal="center" vertical="center"/>
    </xf>
    <xf numFmtId="3" fontId="13" fillId="9" borderId="0" xfId="0" applyNumberFormat="1" applyFont="1" applyFill="1" applyAlignment="1">
      <alignment horizontal="center" vertical="center"/>
    </xf>
    <xf numFmtId="0" fontId="24" fillId="9" borderId="0" xfId="0" applyFont="1" applyFill="1" applyAlignment="1">
      <alignment horizontal="left" vertical="center"/>
    </xf>
    <xf numFmtId="3" fontId="26" fillId="9" borderId="0" xfId="0" applyNumberFormat="1" applyFont="1" applyFill="1" applyAlignment="1">
      <alignment horizontal="center" vertical="center"/>
    </xf>
    <xf numFmtId="0" fontId="33" fillId="9" borderId="54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55" fillId="6" borderId="0" xfId="0" applyFont="1" applyFill="1"/>
    <xf numFmtId="0" fontId="21" fillId="6" borderId="0" xfId="0" applyFont="1" applyFill="1" applyAlignment="1">
      <alignment horizontal="center" vertical="center" wrapText="1"/>
    </xf>
    <xf numFmtId="164" fontId="26" fillId="6" borderId="0" xfId="0" applyNumberFormat="1" applyFont="1" applyFill="1" applyAlignment="1">
      <alignment horizontal="right"/>
    </xf>
    <xf numFmtId="164" fontId="26" fillId="6" borderId="0" xfId="0" applyNumberFormat="1" applyFont="1" applyFill="1"/>
    <xf numFmtId="164" fontId="21" fillId="6" borderId="0" xfId="0" applyNumberFormat="1" applyFont="1" applyFill="1"/>
    <xf numFmtId="164" fontId="45" fillId="6" borderId="0" xfId="0" applyNumberFormat="1" applyFont="1" applyFill="1"/>
    <xf numFmtId="3" fontId="23" fillId="6" borderId="0" xfId="0" applyNumberFormat="1" applyFont="1" applyFill="1" applyAlignment="1">
      <alignment horizontal="right"/>
    </xf>
    <xf numFmtId="3" fontId="21" fillId="6" borderId="0" xfId="0" applyNumberFormat="1" applyFont="1" applyFill="1" applyAlignment="1">
      <alignment horizontal="right"/>
    </xf>
    <xf numFmtId="164" fontId="23" fillId="22" borderId="42" xfId="0" applyNumberFormat="1" applyFont="1" applyFill="1" applyBorder="1" applyAlignment="1">
      <alignment horizontal="right"/>
    </xf>
    <xf numFmtId="3" fontId="23" fillId="22" borderId="42" xfId="0" applyNumberFormat="1" applyFont="1" applyFill="1" applyBorder="1" applyAlignment="1">
      <alignment horizontal="right"/>
    </xf>
    <xf numFmtId="0" fontId="9" fillId="0" borderId="74" xfId="0" applyFont="1" applyBorder="1" applyAlignment="1">
      <alignment horizontal="center" vertical="center"/>
    </xf>
    <xf numFmtId="0" fontId="9" fillId="0" borderId="73" xfId="0" applyFont="1" applyBorder="1" applyAlignment="1">
      <alignment horizontal="left" vertical="center"/>
    </xf>
    <xf numFmtId="0" fontId="58" fillId="0" borderId="73" xfId="0" applyFont="1" applyBorder="1" applyAlignment="1">
      <alignment horizontal="center" vertical="center"/>
    </xf>
    <xf numFmtId="165" fontId="62" fillId="0" borderId="75" xfId="0" quotePrefix="1" applyNumberFormat="1" applyFont="1" applyBorder="1" applyAlignment="1">
      <alignment horizontal="right" vertical="center"/>
    </xf>
    <xf numFmtId="165" fontId="9" fillId="0" borderId="75" xfId="0" quotePrefix="1" applyNumberFormat="1" applyFont="1" applyBorder="1" applyAlignment="1">
      <alignment horizontal="right" vertical="center"/>
    </xf>
    <xf numFmtId="165" fontId="9" fillId="0" borderId="75" xfId="0" quotePrefix="1" applyNumberFormat="1" applyFont="1" applyBorder="1" applyAlignment="1">
      <alignment horizontal="left" vertical="center"/>
    </xf>
    <xf numFmtId="0" fontId="21" fillId="4" borderId="5" xfId="0" applyFont="1" applyFill="1" applyBorder="1" applyAlignment="1">
      <alignment horizontal="right" vertical="center"/>
    </xf>
    <xf numFmtId="9" fontId="11" fillId="4" borderId="5" xfId="0" applyNumberFormat="1" applyFont="1" applyFill="1" applyBorder="1" applyAlignment="1">
      <alignment horizontal="center" vertical="center"/>
    </xf>
    <xf numFmtId="9" fontId="11" fillId="4" borderId="29" xfId="0" applyNumberFormat="1" applyFont="1" applyFill="1" applyBorder="1" applyAlignment="1">
      <alignment horizontal="center" vertical="center"/>
    </xf>
    <xf numFmtId="0" fontId="55" fillId="4" borderId="76" xfId="0" applyFont="1" applyFill="1" applyBorder="1" applyAlignment="1">
      <alignment horizontal="center" vertical="center" wrapText="1"/>
    </xf>
    <xf numFmtId="3" fontId="11" fillId="4" borderId="13" xfId="0" applyNumberFormat="1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right" vertical="center"/>
    </xf>
    <xf numFmtId="0" fontId="1" fillId="21" borderId="62" xfId="0" applyFont="1" applyFill="1" applyBorder="1" applyAlignment="1">
      <alignment horizontal="right"/>
    </xf>
    <xf numFmtId="2" fontId="0" fillId="0" borderId="24" xfId="0" applyNumberFormat="1" applyBorder="1" applyAlignment="1">
      <alignment horizontal="right"/>
    </xf>
    <xf numFmtId="2" fontId="0" fillId="0" borderId="25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4" fillId="0" borderId="24" xfId="0" applyNumberFormat="1" applyFont="1" applyBorder="1"/>
    <xf numFmtId="2" fontId="4" fillId="0" borderId="25" xfId="0" applyNumberFormat="1" applyFont="1" applyBorder="1"/>
    <xf numFmtId="2" fontId="0" fillId="0" borderId="25" xfId="0" applyNumberFormat="1" applyBorder="1"/>
    <xf numFmtId="2" fontId="0" fillId="0" borderId="26" xfId="0" applyNumberFormat="1" applyBorder="1"/>
    <xf numFmtId="4" fontId="26" fillId="6" borderId="6" xfId="0" applyNumberFormat="1" applyFont="1" applyFill="1" applyBorder="1" applyAlignment="1">
      <alignment vertical="center"/>
    </xf>
    <xf numFmtId="3" fontId="26" fillId="0" borderId="5" xfId="0" applyNumberFormat="1" applyFont="1" applyBorder="1" applyAlignment="1">
      <alignment vertical="center"/>
    </xf>
    <xf numFmtId="0" fontId="30" fillId="9" borderId="0" xfId="0" applyFont="1" applyFill="1"/>
    <xf numFmtId="0" fontId="30" fillId="3" borderId="0" xfId="0" applyFont="1" applyFill="1"/>
    <xf numFmtId="164" fontId="9" fillId="10" borderId="27" xfId="0" applyNumberFormat="1" applyFont="1" applyFill="1" applyBorder="1" applyAlignment="1">
      <alignment horizontal="center" vertical="center"/>
    </xf>
    <xf numFmtId="164" fontId="9" fillId="10" borderId="40" xfId="0" applyNumberFormat="1" applyFont="1" applyFill="1" applyBorder="1" applyAlignment="1">
      <alignment horizontal="center" vertical="center"/>
    </xf>
    <xf numFmtId="165" fontId="76" fillId="9" borderId="0" xfId="0" applyNumberFormat="1" applyFont="1" applyFill="1" applyAlignment="1">
      <alignment horizontal="right" vertical="center"/>
    </xf>
    <xf numFmtId="165" fontId="9" fillId="9" borderId="0" xfId="0" applyNumberFormat="1" applyFont="1" applyFill="1" applyAlignment="1">
      <alignment horizontal="right" vertical="center"/>
    </xf>
    <xf numFmtId="0" fontId="77" fillId="3" borderId="0" xfId="0" applyFont="1" applyFill="1" applyAlignment="1">
      <alignment horizontal="center" vertical="center"/>
    </xf>
    <xf numFmtId="164" fontId="38" fillId="10" borderId="27" xfId="0" applyNumberFormat="1" applyFont="1" applyFill="1" applyBorder="1" applyAlignment="1">
      <alignment horizontal="center" vertical="center"/>
    </xf>
    <xf numFmtId="164" fontId="38" fillId="10" borderId="40" xfId="0" applyNumberFormat="1" applyFont="1" applyFill="1" applyBorder="1" applyAlignment="1">
      <alignment horizontal="center" vertical="center"/>
    </xf>
    <xf numFmtId="1" fontId="23" fillId="6" borderId="5" xfId="0" applyNumberFormat="1" applyFont="1" applyFill="1" applyBorder="1" applyAlignment="1">
      <alignment vertical="center"/>
    </xf>
    <xf numFmtId="3" fontId="26" fillId="9" borderId="0" xfId="0" applyNumberFormat="1" applyFont="1" applyFill="1"/>
    <xf numFmtId="3" fontId="26" fillId="9" borderId="42" xfId="0" applyNumberFormat="1" applyFont="1" applyFill="1" applyBorder="1"/>
    <xf numFmtId="3" fontId="26" fillId="9" borderId="54" xfId="0" applyNumberFormat="1" applyFont="1" applyFill="1" applyBorder="1" applyAlignment="1">
      <alignment horizontal="right"/>
    </xf>
    <xf numFmtId="3" fontId="26" fillId="9" borderId="42" xfId="0" applyNumberFormat="1" applyFont="1" applyFill="1" applyBorder="1" applyAlignment="1">
      <alignment horizontal="right"/>
    </xf>
    <xf numFmtId="164" fontId="21" fillId="6" borderId="0" xfId="0" quotePrefix="1" applyNumberFormat="1" applyFont="1" applyFill="1" applyAlignment="1">
      <alignment horizontal="center" vertical="center"/>
    </xf>
    <xf numFmtId="0" fontId="17" fillId="18" borderId="24" xfId="0" applyFont="1" applyFill="1" applyBorder="1" applyAlignment="1">
      <alignment horizontal="center" vertical="center" wrapText="1"/>
    </xf>
    <xf numFmtId="0" fontId="17" fillId="18" borderId="25" xfId="0" applyFont="1" applyFill="1" applyBorder="1" applyAlignment="1">
      <alignment horizontal="center" vertical="center" wrapText="1"/>
    </xf>
    <xf numFmtId="0" fontId="17" fillId="18" borderId="25" xfId="0" applyFont="1" applyFill="1" applyBorder="1" applyAlignment="1">
      <alignment vertical="center" wrapText="1"/>
    </xf>
    <xf numFmtId="3" fontId="23" fillId="3" borderId="1" xfId="0" applyNumberFormat="1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center"/>
    </xf>
    <xf numFmtId="0" fontId="55" fillId="4" borderId="78" xfId="0" applyFont="1" applyFill="1" applyBorder="1" applyAlignment="1">
      <alignment horizontal="center" vertical="center" wrapText="1"/>
    </xf>
    <xf numFmtId="0" fontId="12" fillId="4" borderId="61" xfId="0" applyFont="1" applyFill="1" applyBorder="1" applyAlignment="1">
      <alignment horizontal="center" vertical="top" wrapText="1"/>
    </xf>
    <xf numFmtId="3" fontId="11" fillId="4" borderId="18" xfId="0" applyNumberFormat="1" applyFont="1" applyFill="1" applyBorder="1" applyAlignment="1">
      <alignment horizontal="center" vertical="center"/>
    </xf>
    <xf numFmtId="165" fontId="10" fillId="10" borderId="7" xfId="0" applyNumberFormat="1" applyFont="1" applyFill="1" applyBorder="1" applyAlignment="1">
      <alignment horizontal="center" vertical="center" wrapText="1"/>
    </xf>
    <xf numFmtId="165" fontId="63" fillId="10" borderId="7" xfId="0" applyNumberFormat="1" applyFont="1" applyFill="1" applyBorder="1" applyAlignment="1">
      <alignment horizontal="center" vertical="center" wrapText="1"/>
    </xf>
    <xf numFmtId="165" fontId="62" fillId="9" borderId="7" xfId="0" quotePrefix="1" applyNumberFormat="1" applyFont="1" applyFill="1" applyBorder="1" applyAlignment="1">
      <alignment horizontal="right" vertical="center"/>
    </xf>
    <xf numFmtId="165" fontId="8" fillId="9" borderId="0" xfId="0" applyNumberFormat="1" applyFont="1" applyFill="1" applyAlignment="1">
      <alignment horizontal="right" vertical="center"/>
    </xf>
    <xf numFmtId="0" fontId="9" fillId="9" borderId="0" xfId="0" applyFont="1" applyFill="1" applyAlignment="1">
      <alignment horizontal="center"/>
    </xf>
    <xf numFmtId="165" fontId="62" fillId="7" borderId="7" xfId="0" quotePrefix="1" applyNumberFormat="1" applyFont="1" applyFill="1" applyBorder="1" applyAlignment="1">
      <alignment horizontal="right" vertical="center"/>
    </xf>
    <xf numFmtId="165" fontId="8" fillId="0" borderId="0" xfId="0" applyNumberFormat="1" applyFont="1" applyAlignment="1">
      <alignment horizontal="right"/>
    </xf>
    <xf numFmtId="0" fontId="9" fillId="0" borderId="4" xfId="0" quotePrefix="1" applyFont="1" applyBorder="1" applyAlignment="1">
      <alignment vertical="center"/>
    </xf>
    <xf numFmtId="164" fontId="9" fillId="9" borderId="0" xfId="0" applyNumberFormat="1" applyFont="1" applyFill="1" applyAlignment="1">
      <alignment horizontal="center"/>
    </xf>
    <xf numFmtId="0" fontId="85" fillId="4" borderId="76" xfId="0" applyFont="1" applyFill="1" applyBorder="1" applyAlignment="1">
      <alignment horizontal="center" vertical="center" wrapText="1"/>
    </xf>
    <xf numFmtId="164" fontId="86" fillId="10" borderId="4" xfId="0" quotePrefix="1" applyNumberFormat="1" applyFont="1" applyFill="1" applyBorder="1" applyAlignment="1">
      <alignment horizontal="center" vertical="center"/>
    </xf>
    <xf numFmtId="0" fontId="87" fillId="0" borderId="5" xfId="0" applyFont="1" applyBorder="1" applyAlignment="1">
      <alignment horizontal="center" vertical="center"/>
    </xf>
    <xf numFmtId="0" fontId="88" fillId="0" borderId="5" xfId="0" applyFont="1" applyBorder="1" applyAlignment="1">
      <alignment horizontal="center" vertical="center"/>
    </xf>
    <xf numFmtId="0" fontId="88" fillId="0" borderId="73" xfId="0" applyFont="1" applyBorder="1" applyAlignment="1">
      <alignment horizontal="center" vertical="center"/>
    </xf>
    <xf numFmtId="0" fontId="87" fillId="7" borderId="5" xfId="0" applyFont="1" applyFill="1" applyBorder="1" applyAlignment="1">
      <alignment horizontal="center" vertical="center"/>
    </xf>
    <xf numFmtId="164" fontId="11" fillId="10" borderId="4" xfId="0" applyNumberFormat="1" applyFont="1" applyFill="1" applyBorder="1" applyAlignment="1">
      <alignment horizontal="center" vertical="center" wrapText="1"/>
    </xf>
    <xf numFmtId="0" fontId="88" fillId="9" borderId="5" xfId="0" applyFont="1" applyFill="1" applyBorder="1" applyAlignment="1">
      <alignment horizontal="center" vertical="center"/>
    </xf>
    <xf numFmtId="0" fontId="87" fillId="9" borderId="5" xfId="0" applyFont="1" applyFill="1" applyBorder="1" applyAlignment="1">
      <alignment horizontal="center" vertical="center"/>
    </xf>
    <xf numFmtId="164" fontId="9" fillId="9" borderId="0" xfId="0" applyNumberFormat="1" applyFont="1" applyFill="1" applyAlignment="1">
      <alignment horizontal="center" vertical="center"/>
    </xf>
    <xf numFmtId="164" fontId="84" fillId="10" borderId="27" xfId="0" applyNumberFormat="1" applyFont="1" applyFill="1" applyBorder="1" applyAlignment="1">
      <alignment horizontal="center" vertical="center"/>
    </xf>
    <xf numFmtId="164" fontId="62" fillId="9" borderId="5" xfId="0" applyNumberFormat="1" applyFont="1" applyFill="1" applyBorder="1" applyAlignment="1">
      <alignment horizontal="center" vertical="center"/>
    </xf>
    <xf numFmtId="164" fontId="62" fillId="9" borderId="10" xfId="0" applyNumberFormat="1" applyFont="1" applyFill="1" applyBorder="1" applyAlignment="1">
      <alignment horizontal="center" vertical="center"/>
    </xf>
    <xf numFmtId="164" fontId="9" fillId="9" borderId="2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21" fillId="6" borderId="38" xfId="0" quotePrefix="1" applyNumberFormat="1" applyFont="1" applyFill="1" applyBorder="1" applyAlignment="1">
      <alignment horizontal="center" vertical="center"/>
    </xf>
    <xf numFmtId="174" fontId="30" fillId="9" borderId="5" xfId="0" applyNumberFormat="1" applyFont="1" applyFill="1" applyBorder="1" applyAlignment="1">
      <alignment horizontal="center" vertical="center"/>
    </xf>
    <xf numFmtId="174" fontId="27" fillId="9" borderId="5" xfId="0" applyNumberFormat="1" applyFont="1" applyFill="1" applyBorder="1" applyAlignment="1">
      <alignment horizontal="center" vertical="center"/>
    </xf>
    <xf numFmtId="174" fontId="27" fillId="9" borderId="16" xfId="0" applyNumberFormat="1" applyFont="1" applyFill="1" applyBorder="1" applyAlignment="1">
      <alignment horizontal="center" vertical="center"/>
    </xf>
    <xf numFmtId="164" fontId="9" fillId="11" borderId="13" xfId="0" applyNumberFormat="1" applyFont="1" applyFill="1" applyBorder="1" applyAlignment="1">
      <alignment horizontal="center" vertical="center"/>
    </xf>
    <xf numFmtId="164" fontId="9" fillId="11" borderId="14" xfId="0" applyNumberFormat="1" applyFont="1" applyFill="1" applyBorder="1" applyAlignment="1">
      <alignment horizontal="center" vertical="center"/>
    </xf>
    <xf numFmtId="0" fontId="64" fillId="3" borderId="5" xfId="0" applyFont="1" applyFill="1" applyBorder="1" applyAlignment="1">
      <alignment horizontal="center" vertical="center"/>
    </xf>
    <xf numFmtId="0" fontId="16" fillId="6" borderId="0" xfId="0" applyFont="1" applyFill="1"/>
    <xf numFmtId="0" fontId="43" fillId="9" borderId="0" xfId="0" applyFont="1" applyFill="1" applyAlignment="1">
      <alignment horizontal="center" vertical="center"/>
    </xf>
    <xf numFmtId="0" fontId="75" fillId="9" borderId="0" xfId="0" applyFont="1" applyFill="1" applyAlignment="1">
      <alignment horizontal="center" vertical="center"/>
    </xf>
    <xf numFmtId="0" fontId="56" fillId="9" borderId="0" xfId="0" applyFont="1" applyFill="1" applyAlignment="1">
      <alignment horizontal="center" vertical="center"/>
    </xf>
    <xf numFmtId="0" fontId="43" fillId="9" borderId="0" xfId="0" applyFont="1" applyFill="1" applyAlignment="1">
      <alignment horizontal="center" vertical="center" wrapText="1"/>
    </xf>
    <xf numFmtId="0" fontId="75" fillId="9" borderId="0" xfId="0" applyFont="1" applyFill="1" applyAlignment="1">
      <alignment horizontal="center" vertical="center" wrapText="1"/>
    </xf>
    <xf numFmtId="0" fontId="56" fillId="9" borderId="0" xfId="0" applyFont="1" applyFill="1" applyAlignment="1">
      <alignment horizontal="center" vertical="center" wrapText="1"/>
    </xf>
    <xf numFmtId="164" fontId="26" fillId="9" borderId="0" xfId="0" applyNumberFormat="1" applyFont="1" applyFill="1" applyAlignment="1">
      <alignment horizontal="right"/>
    </xf>
    <xf numFmtId="0" fontId="67" fillId="9" borderId="0" xfId="0" applyFont="1" applyFill="1" applyAlignment="1">
      <alignment horizontal="center"/>
    </xf>
    <xf numFmtId="0" fontId="67" fillId="9" borderId="0" xfId="0" applyFont="1" applyFill="1" applyAlignment="1">
      <alignment horizontal="center" vertical="center" wrapText="1"/>
    </xf>
    <xf numFmtId="3" fontId="26" fillId="9" borderId="0" xfId="0" applyNumberFormat="1" applyFont="1" applyFill="1" applyAlignment="1">
      <alignment horizontal="right"/>
    </xf>
    <xf numFmtId="164" fontId="42" fillId="9" borderId="0" xfId="0" applyNumberFormat="1" applyFont="1" applyFill="1" applyAlignment="1">
      <alignment horizontal="left" vertical="center" wrapText="1"/>
    </xf>
    <xf numFmtId="164" fontId="42" fillId="9" borderId="39" xfId="0" applyNumberFormat="1" applyFont="1" applyFill="1" applyBorder="1" applyAlignment="1">
      <alignment horizontal="left" vertical="center" wrapText="1"/>
    </xf>
    <xf numFmtId="0" fontId="41" fillId="9" borderId="0" xfId="1" applyFont="1" applyFill="1" applyAlignment="1">
      <alignment horizontal="center"/>
    </xf>
    <xf numFmtId="0" fontId="23" fillId="9" borderId="32" xfId="0" applyFont="1" applyFill="1" applyBorder="1" applyAlignment="1">
      <alignment vertical="center"/>
    </xf>
    <xf numFmtId="0" fontId="23" fillId="9" borderId="38" xfId="0" applyFont="1" applyFill="1" applyBorder="1" applyAlignment="1">
      <alignment horizontal="center" vertical="center"/>
    </xf>
    <xf numFmtId="0" fontId="23" fillId="9" borderId="38" xfId="0" applyFont="1" applyFill="1" applyBorder="1" applyAlignment="1">
      <alignment vertical="center"/>
    </xf>
    <xf numFmtId="0" fontId="24" fillId="9" borderId="38" xfId="0" applyFont="1" applyFill="1" applyBorder="1" applyAlignment="1">
      <alignment vertical="center"/>
    </xf>
    <xf numFmtId="164" fontId="23" fillId="9" borderId="38" xfId="0" applyNumberFormat="1" applyFont="1" applyFill="1" applyBorder="1" applyAlignment="1">
      <alignment horizontal="right" vertical="center"/>
    </xf>
    <xf numFmtId="0" fontId="23" fillId="9" borderId="34" xfId="0" applyFont="1" applyFill="1" applyBorder="1" applyAlignment="1">
      <alignment vertical="center"/>
    </xf>
    <xf numFmtId="0" fontId="23" fillId="9" borderId="0" xfId="0" applyFont="1" applyFill="1" applyAlignment="1">
      <alignment horizontal="center" vertical="center"/>
    </xf>
    <xf numFmtId="0" fontId="23" fillId="9" borderId="0" xfId="0" applyFont="1" applyFill="1" applyAlignment="1">
      <alignment vertical="center"/>
    </xf>
    <xf numFmtId="0" fontId="24" fillId="9" borderId="0" xfId="0" applyFont="1" applyFill="1" applyAlignment="1">
      <alignment vertical="center"/>
    </xf>
    <xf numFmtId="164" fontId="23" fillId="9" borderId="0" xfId="0" applyNumberFormat="1" applyFont="1" applyFill="1" applyAlignment="1">
      <alignment horizontal="right" vertical="center"/>
    </xf>
    <xf numFmtId="0" fontId="24" fillId="9" borderId="36" xfId="0" applyFont="1" applyFill="1" applyBorder="1" applyAlignment="1">
      <alignment vertical="center"/>
    </xf>
    <xf numFmtId="0" fontId="21" fillId="9" borderId="39" xfId="0" applyFont="1" applyFill="1" applyBorder="1" applyAlignment="1">
      <alignment vertical="center"/>
    </xf>
    <xf numFmtId="175" fontId="11" fillId="4" borderId="13" xfId="0" applyNumberFormat="1" applyFont="1" applyFill="1" applyBorder="1" applyAlignment="1">
      <alignment horizontal="center" vertical="center"/>
    </xf>
    <xf numFmtId="3" fontId="23" fillId="6" borderId="55" xfId="0" applyNumberFormat="1" applyFont="1" applyFill="1" applyBorder="1" applyAlignment="1">
      <alignment horizontal="center" vertical="center"/>
    </xf>
    <xf numFmtId="3" fontId="23" fillId="3" borderId="1" xfId="0" quotePrefix="1" applyNumberFormat="1" applyFont="1" applyFill="1" applyBorder="1" applyAlignment="1">
      <alignment horizontal="center" vertical="center"/>
    </xf>
    <xf numFmtId="0" fontId="70" fillId="9" borderId="0" xfId="0" applyFont="1" applyFill="1" applyAlignment="1">
      <alignment horizontal="center" vertical="center" wrapText="1"/>
    </xf>
    <xf numFmtId="0" fontId="70" fillId="9" borderId="60" xfId="0" applyFont="1" applyFill="1" applyBorder="1" applyAlignment="1">
      <alignment horizontal="center"/>
    </xf>
    <xf numFmtId="0" fontId="92" fillId="0" borderId="0" xfId="0" applyFont="1"/>
    <xf numFmtId="0" fontId="21" fillId="10" borderId="4" xfId="0" applyFont="1" applyFill="1" applyBorder="1" applyAlignment="1">
      <alignment horizontal="center" vertical="center" wrapText="1"/>
    </xf>
    <xf numFmtId="3" fontId="8" fillId="9" borderId="0" xfId="0" applyNumberFormat="1" applyFont="1" applyFill="1" applyAlignment="1">
      <alignment horizontal="center" vertical="center"/>
    </xf>
    <xf numFmtId="9" fontId="15" fillId="3" borderId="0" xfId="0" applyNumberFormat="1" applyFont="1" applyFill="1"/>
    <xf numFmtId="0" fontId="11" fillId="0" borderId="4" xfId="0" quotePrefix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2" fontId="44" fillId="13" borderId="0" xfId="0" applyNumberFormat="1" applyFont="1" applyFill="1"/>
    <xf numFmtId="0" fontId="69" fillId="9" borderId="59" xfId="0" applyFont="1" applyFill="1" applyBorder="1" applyAlignment="1">
      <alignment horizontal="center" vertical="center" wrapText="1"/>
    </xf>
    <xf numFmtId="0" fontId="70" fillId="9" borderId="60" xfId="0" applyFont="1" applyFill="1" applyBorder="1" applyAlignment="1">
      <alignment horizontal="center" vertical="center" wrapText="1"/>
    </xf>
    <xf numFmtId="0" fontId="98" fillId="9" borderId="0" xfId="0" applyFont="1" applyFill="1" applyAlignment="1">
      <alignment horizontal="center" vertical="center"/>
    </xf>
    <xf numFmtId="0" fontId="98" fillId="9" borderId="0" xfId="0" applyFont="1" applyFill="1" applyAlignment="1">
      <alignment horizontal="center" vertical="center" wrapText="1"/>
    </xf>
    <xf numFmtId="14" fontId="21" fillId="6" borderId="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9" fillId="9" borderId="0" xfId="1" applyFont="1" applyFill="1" applyAlignment="1">
      <alignment horizontal="left"/>
    </xf>
    <xf numFmtId="9" fontId="24" fillId="9" borderId="1" xfId="0" applyNumberFormat="1" applyFont="1" applyFill="1" applyBorder="1" applyAlignment="1">
      <alignment horizontal="center" vertical="center"/>
    </xf>
    <xf numFmtId="0" fontId="89" fillId="3" borderId="0" xfId="0" applyFont="1" applyFill="1" applyAlignment="1">
      <alignment horizontal="center" vertical="center"/>
    </xf>
    <xf numFmtId="9" fontId="24" fillId="3" borderId="0" xfId="0" applyNumberFormat="1" applyFont="1" applyFill="1"/>
    <xf numFmtId="0" fontId="11" fillId="9" borderId="0" xfId="0" applyFont="1" applyFill="1"/>
    <xf numFmtId="0" fontId="24" fillId="0" borderId="0" xfId="0" applyFont="1"/>
    <xf numFmtId="0" fontId="24" fillId="3" borderId="4" xfId="0" applyFont="1" applyFill="1" applyBorder="1" applyAlignment="1">
      <alignment vertical="center" wrapText="1"/>
    </xf>
    <xf numFmtId="0" fontId="24" fillId="3" borderId="4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/>
    </xf>
    <xf numFmtId="165" fontId="63" fillId="3" borderId="7" xfId="0" quotePrefix="1" applyNumberFormat="1" applyFont="1" applyFill="1" applyBorder="1" applyAlignment="1">
      <alignment horizontal="right" vertical="center"/>
    </xf>
    <xf numFmtId="0" fontId="95" fillId="9" borderId="0" xfId="0" applyFont="1" applyFill="1"/>
    <xf numFmtId="0" fontId="95" fillId="0" borderId="4" xfId="0" applyFont="1" applyBorder="1" applyAlignment="1">
      <alignment horizontal="center" vertical="center"/>
    </xf>
    <xf numFmtId="0" fontId="95" fillId="0" borderId="5" xfId="0" applyFont="1" applyBorder="1" applyAlignment="1">
      <alignment horizontal="left" vertical="center"/>
    </xf>
    <xf numFmtId="0" fontId="102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165" fontId="103" fillId="0" borderId="7" xfId="0" quotePrefix="1" applyNumberFormat="1" applyFont="1" applyBorder="1" applyAlignment="1">
      <alignment horizontal="right" vertical="center"/>
    </xf>
    <xf numFmtId="165" fontId="95" fillId="0" borderId="7" xfId="0" quotePrefix="1" applyNumberFormat="1" applyFont="1" applyBorder="1" applyAlignment="1">
      <alignment horizontal="right" vertical="center"/>
    </xf>
    <xf numFmtId="165" fontId="95" fillId="0" borderId="7" xfId="0" quotePrefix="1" applyNumberFormat="1" applyFont="1" applyBorder="1" applyAlignment="1">
      <alignment horizontal="left" vertical="center"/>
    </xf>
    <xf numFmtId="0" fontId="104" fillId="3" borderId="0" xfId="0" applyFont="1" applyFill="1" applyAlignment="1">
      <alignment horizontal="center" vertical="center"/>
    </xf>
    <xf numFmtId="9" fontId="94" fillId="3" borderId="0" xfId="0" applyNumberFormat="1" applyFont="1" applyFill="1"/>
    <xf numFmtId="165" fontId="95" fillId="9" borderId="0" xfId="0" applyNumberFormat="1" applyFont="1" applyFill="1"/>
    <xf numFmtId="0" fontId="102" fillId="9" borderId="0" xfId="0" applyFont="1" applyFill="1"/>
    <xf numFmtId="0" fontId="95" fillId="0" borderId="0" xfId="0" applyFont="1"/>
    <xf numFmtId="164" fontId="105" fillId="0" borderId="0" xfId="0" applyNumberFormat="1" applyFont="1"/>
    <xf numFmtId="3" fontId="105" fillId="0" borderId="0" xfId="0" applyNumberFormat="1" applyFont="1"/>
    <xf numFmtId="0" fontId="105" fillId="0" borderId="0" xfId="0" applyFont="1"/>
    <xf numFmtId="0" fontId="101" fillId="10" borderId="83" xfId="0" applyFont="1" applyFill="1" applyBorder="1" applyAlignment="1">
      <alignment horizontal="center" vertical="center" wrapText="1"/>
    </xf>
    <xf numFmtId="0" fontId="24" fillId="11" borderId="4" xfId="0" applyFont="1" applyFill="1" applyBorder="1" applyAlignment="1">
      <alignment vertical="center" wrapText="1"/>
    </xf>
    <xf numFmtId="0" fontId="24" fillId="11" borderId="4" xfId="0" applyFont="1" applyFill="1" applyBorder="1" applyAlignment="1">
      <alignment horizontal="center" vertical="center"/>
    </xf>
    <xf numFmtId="0" fontId="24" fillId="11" borderId="5" xfId="0" applyFont="1" applyFill="1" applyBorder="1" applyAlignment="1">
      <alignment horizontal="left" vertical="center"/>
    </xf>
    <xf numFmtId="0" fontId="64" fillId="11" borderId="5" xfId="0" applyFont="1" applyFill="1" applyBorder="1" applyAlignment="1">
      <alignment horizontal="center" vertical="center"/>
    </xf>
    <xf numFmtId="0" fontId="89" fillId="11" borderId="4" xfId="0" applyFont="1" applyFill="1" applyBorder="1" applyAlignment="1">
      <alignment horizontal="center" vertical="center"/>
    </xf>
    <xf numFmtId="165" fontId="63" fillId="11" borderId="7" xfId="0" quotePrefix="1" applyNumberFormat="1" applyFont="1" applyFill="1" applyBorder="1" applyAlignment="1">
      <alignment horizontal="right" vertical="center"/>
    </xf>
    <xf numFmtId="165" fontId="25" fillId="11" borderId="7" xfId="0" quotePrefix="1" applyNumberFormat="1" applyFont="1" applyFill="1" applyBorder="1" applyAlignment="1">
      <alignment horizontal="right" vertical="center"/>
    </xf>
    <xf numFmtId="165" fontId="24" fillId="11" borderId="7" xfId="0" quotePrefix="1" applyNumberFormat="1" applyFont="1" applyFill="1" applyBorder="1" applyAlignment="1">
      <alignment horizontal="right" vertical="center"/>
    </xf>
    <xf numFmtId="165" fontId="24" fillId="11" borderId="7" xfId="0" applyNumberFormat="1" applyFont="1" applyFill="1" applyBorder="1" applyAlignment="1">
      <alignment horizontal="left" vertical="center"/>
    </xf>
    <xf numFmtId="0" fontId="24" fillId="11" borderId="4" xfId="0" applyFont="1" applyFill="1" applyBorder="1" applyAlignment="1">
      <alignment vertical="center"/>
    </xf>
    <xf numFmtId="165" fontId="16" fillId="11" borderId="7" xfId="0" applyNumberFormat="1" applyFont="1" applyFill="1" applyBorder="1" applyAlignment="1">
      <alignment horizontal="left" vertical="center"/>
    </xf>
    <xf numFmtId="0" fontId="11" fillId="11" borderId="4" xfId="0" applyFont="1" applyFill="1" applyBorder="1" applyAlignment="1">
      <alignment horizontal="center" vertical="center"/>
    </xf>
    <xf numFmtId="0" fontId="106" fillId="11" borderId="5" xfId="0" applyFont="1" applyFill="1" applyBorder="1" applyAlignment="1">
      <alignment horizontal="center" vertical="center"/>
    </xf>
    <xf numFmtId="0" fontId="107" fillId="3" borderId="5" xfId="0" applyFont="1" applyFill="1" applyBorder="1" applyAlignment="1">
      <alignment horizontal="center" vertical="center"/>
    </xf>
    <xf numFmtId="3" fontId="108" fillId="26" borderId="20" xfId="0" applyNumberFormat="1" applyFont="1" applyFill="1" applyBorder="1" applyAlignment="1">
      <alignment horizontal="center" vertical="center"/>
    </xf>
    <xf numFmtId="164" fontId="108" fillId="26" borderId="49" xfId="0" applyNumberFormat="1" applyFont="1" applyFill="1" applyBorder="1" applyAlignment="1">
      <alignment vertical="center"/>
    </xf>
    <xf numFmtId="0" fontId="109" fillId="26" borderId="27" xfId="0" applyFont="1" applyFill="1" applyBorder="1" applyAlignment="1">
      <alignment horizontal="center" vertical="center"/>
    </xf>
    <xf numFmtId="164" fontId="108" fillId="26" borderId="27" xfId="0" applyNumberFormat="1" applyFont="1" applyFill="1" applyBorder="1" applyAlignment="1">
      <alignment vertical="center"/>
    </xf>
    <xf numFmtId="164" fontId="108" fillId="26" borderId="27" xfId="0" applyNumberFormat="1" applyFont="1" applyFill="1" applyBorder="1" applyAlignment="1">
      <alignment horizontal="center" vertical="center"/>
    </xf>
    <xf numFmtId="164" fontId="108" fillId="26" borderId="40" xfId="0" applyNumberFormat="1" applyFont="1" applyFill="1" applyBorder="1" applyAlignment="1">
      <alignment horizontal="center" vertical="center"/>
    </xf>
    <xf numFmtId="165" fontId="108" fillId="26" borderId="26" xfId="0" applyNumberFormat="1" applyFont="1" applyFill="1" applyBorder="1" applyAlignment="1">
      <alignment horizontal="right" vertical="center"/>
    </xf>
    <xf numFmtId="165" fontId="108" fillId="26" borderId="1" xfId="0" applyNumberFormat="1" applyFont="1" applyFill="1" applyBorder="1" applyAlignment="1">
      <alignment horizontal="right" vertical="center"/>
    </xf>
    <xf numFmtId="165" fontId="24" fillId="9" borderId="0" xfId="0" applyNumberFormat="1" applyFont="1" applyFill="1"/>
    <xf numFmtId="0" fontId="9" fillId="0" borderId="4" xfId="0" quotePrefix="1" applyFont="1" applyBorder="1" applyAlignment="1">
      <alignment horizontal="center" vertical="center"/>
    </xf>
    <xf numFmtId="165" fontId="21" fillId="10" borderId="7" xfId="0" applyNumberFormat="1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right" vertical="top"/>
    </xf>
    <xf numFmtId="14" fontId="23" fillId="6" borderId="7" xfId="0" quotePrefix="1" applyNumberFormat="1" applyFont="1" applyFill="1" applyBorder="1" applyAlignment="1">
      <alignment horizontal="center" vertical="center"/>
    </xf>
    <xf numFmtId="14" fontId="92" fillId="0" borderId="0" xfId="0" applyNumberFormat="1" applyFont="1" applyAlignment="1">
      <alignment horizontal="center" vertical="top"/>
    </xf>
    <xf numFmtId="0" fontId="92" fillId="0" borderId="0" xfId="0" applyFont="1" applyAlignment="1">
      <alignment wrapText="1"/>
    </xf>
    <xf numFmtId="0" fontId="100" fillId="0" borderId="8" xfId="0" applyFont="1" applyBorder="1" applyAlignment="1">
      <alignment horizontal="center" vertical="center"/>
    </xf>
    <xf numFmtId="0" fontId="100" fillId="7" borderId="9" xfId="0" applyFont="1" applyFill="1" applyBorder="1" applyAlignment="1">
      <alignment horizontal="center" vertical="center"/>
    </xf>
    <xf numFmtId="0" fontId="100" fillId="7" borderId="8" xfId="0" applyFont="1" applyFill="1" applyBorder="1" applyAlignment="1">
      <alignment horizontal="center" vertical="center"/>
    </xf>
    <xf numFmtId="0" fontId="100" fillId="7" borderId="51" xfId="0" applyFont="1" applyFill="1" applyBorder="1" applyAlignment="1">
      <alignment horizontal="center" vertical="center"/>
    </xf>
    <xf numFmtId="0" fontId="24" fillId="9" borderId="34" xfId="0" applyFont="1" applyFill="1" applyBorder="1" applyAlignment="1">
      <alignment vertical="center"/>
    </xf>
    <xf numFmtId="0" fontId="9" fillId="0" borderId="73" xfId="0" quotePrefix="1" applyFont="1" applyBorder="1" applyAlignment="1">
      <alignment horizontal="center" vertical="center"/>
    </xf>
    <xf numFmtId="0" fontId="26" fillId="12" borderId="15" xfId="0" applyFont="1" applyFill="1" applyBorder="1" applyAlignment="1">
      <alignment horizontal="center" vertical="center"/>
    </xf>
    <xf numFmtId="0" fontId="27" fillId="12" borderId="15" xfId="0" applyFont="1" applyFill="1" applyBorder="1" applyAlignment="1">
      <alignment horizontal="center" vertical="center"/>
    </xf>
    <xf numFmtId="3" fontId="26" fillId="6" borderId="4" xfId="0" applyNumberFormat="1" applyFont="1" applyFill="1" applyBorder="1" applyAlignment="1">
      <alignment vertical="center"/>
    </xf>
    <xf numFmtId="3" fontId="27" fillId="6" borderId="4" xfId="0" applyNumberFormat="1" applyFont="1" applyFill="1" applyBorder="1" applyAlignment="1">
      <alignment vertical="center"/>
    </xf>
    <xf numFmtId="3" fontId="26" fillId="6" borderId="87" xfId="0" applyNumberFormat="1" applyFont="1" applyFill="1" applyBorder="1" applyAlignment="1">
      <alignment vertical="center"/>
    </xf>
    <xf numFmtId="4" fontId="26" fillId="6" borderId="29" xfId="0" applyNumberFormat="1" applyFont="1" applyFill="1" applyBorder="1" applyAlignment="1">
      <alignment vertical="center"/>
    </xf>
    <xf numFmtId="3" fontId="26" fillId="0" borderId="87" xfId="0" applyNumberFormat="1" applyFont="1" applyBorder="1" applyAlignment="1">
      <alignment vertical="center"/>
    </xf>
    <xf numFmtId="4" fontId="26" fillId="0" borderId="29" xfId="0" applyNumberFormat="1" applyFont="1" applyBorder="1" applyAlignment="1">
      <alignment vertical="center"/>
    </xf>
    <xf numFmtId="3" fontId="27" fillId="6" borderId="87" xfId="0" applyNumberFormat="1" applyFont="1" applyFill="1" applyBorder="1" applyAlignment="1">
      <alignment vertical="center"/>
    </xf>
    <xf numFmtId="4" fontId="27" fillId="6" borderId="29" xfId="0" applyNumberFormat="1" applyFont="1" applyFill="1" applyBorder="1" applyAlignment="1">
      <alignment vertical="center"/>
    </xf>
    <xf numFmtId="1" fontId="26" fillId="6" borderId="6" xfId="0" applyNumberFormat="1" applyFont="1" applyFill="1" applyBorder="1" applyAlignment="1">
      <alignment vertical="center"/>
    </xf>
    <xf numFmtId="3" fontId="52" fillId="6" borderId="4" xfId="0" applyNumberFormat="1" applyFont="1" applyFill="1" applyBorder="1" applyAlignment="1">
      <alignment vertical="center"/>
    </xf>
    <xf numFmtId="164" fontId="26" fillId="6" borderId="26" xfId="0" applyNumberFormat="1" applyFont="1" applyFill="1" applyBorder="1" applyAlignment="1">
      <alignment vertical="center"/>
    </xf>
    <xf numFmtId="165" fontId="29" fillId="6" borderId="5" xfId="0" applyNumberFormat="1" applyFont="1" applyFill="1" applyBorder="1" applyAlignment="1">
      <alignment vertical="center"/>
    </xf>
    <xf numFmtId="20" fontId="23" fillId="6" borderId="7" xfId="0" quotePrefix="1" applyNumberFormat="1" applyFont="1" applyFill="1" applyBorder="1" applyAlignment="1">
      <alignment horizontal="center" vertical="center"/>
    </xf>
    <xf numFmtId="0" fontId="109" fillId="15" borderId="86" xfId="0" applyFont="1" applyFill="1" applyBorder="1" applyAlignment="1">
      <alignment horizontal="center" vertical="center"/>
    </xf>
    <xf numFmtId="0" fontId="109" fillId="15" borderId="76" xfId="0" applyFont="1" applyFill="1" applyBorder="1" applyAlignment="1">
      <alignment horizontal="center" vertical="center"/>
    </xf>
    <xf numFmtId="0" fontId="109" fillId="15" borderId="88" xfId="0" applyFont="1" applyFill="1" applyBorder="1" applyAlignment="1">
      <alignment horizontal="center" vertical="center"/>
    </xf>
    <xf numFmtId="0" fontId="109" fillId="21" borderId="48" xfId="0" applyFont="1" applyFill="1" applyBorder="1" applyAlignment="1">
      <alignment horizontal="center" vertical="center"/>
    </xf>
    <xf numFmtId="0" fontId="109" fillId="21" borderId="80" xfId="0" applyFont="1" applyFill="1" applyBorder="1" applyAlignment="1">
      <alignment horizontal="center" vertical="center"/>
    </xf>
    <xf numFmtId="0" fontId="109" fillId="27" borderId="47" xfId="0" applyFont="1" applyFill="1" applyBorder="1" applyAlignment="1">
      <alignment horizontal="center" vertical="center"/>
    </xf>
    <xf numFmtId="0" fontId="109" fillId="27" borderId="86" xfId="0" applyFont="1" applyFill="1" applyBorder="1" applyAlignment="1">
      <alignment horizontal="center" vertical="center"/>
    </xf>
    <xf numFmtId="0" fontId="109" fillId="27" borderId="13" xfId="0" applyFont="1" applyFill="1" applyBorder="1" applyAlignment="1">
      <alignment horizontal="center" vertical="center"/>
    </xf>
    <xf numFmtId="0" fontId="109" fillId="27" borderId="88" xfId="0" applyFont="1" applyFill="1" applyBorder="1" applyAlignment="1">
      <alignment horizontal="center" vertical="center"/>
    </xf>
    <xf numFmtId="165" fontId="25" fillId="3" borderId="89" xfId="0" quotePrefix="1" applyNumberFormat="1" applyFont="1" applyFill="1" applyBorder="1" applyAlignment="1">
      <alignment horizontal="right" vertical="center"/>
    </xf>
    <xf numFmtId="0" fontId="9" fillId="0" borderId="5" xfId="0" quotePrefix="1" applyFont="1" applyBorder="1" applyAlignment="1">
      <alignment horizontal="center" vertical="center"/>
    </xf>
    <xf numFmtId="0" fontId="15" fillId="3" borderId="0" xfId="0" applyFont="1" applyFill="1" applyAlignment="1">
      <alignment horizontal="right"/>
    </xf>
    <xf numFmtId="0" fontId="15" fillId="3" borderId="0" xfId="0" applyFont="1" applyFill="1" applyAlignment="1">
      <alignment horizontal="right" vertical="center"/>
    </xf>
    <xf numFmtId="0" fontId="24" fillId="3" borderId="0" xfId="0" applyFont="1" applyFill="1" applyAlignment="1">
      <alignment horizontal="right"/>
    </xf>
    <xf numFmtId="0" fontId="94" fillId="3" borderId="0" xfId="0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13" fillId="3" borderId="0" xfId="0" applyFont="1" applyFill="1" applyAlignment="1">
      <alignment horizontal="right"/>
    </xf>
    <xf numFmtId="165" fontId="9" fillId="0" borderId="81" xfId="0" quotePrefix="1" applyNumberFormat="1" applyFont="1" applyBorder="1" applyAlignment="1">
      <alignment horizontal="right" vertical="center"/>
    </xf>
    <xf numFmtId="165" fontId="24" fillId="3" borderId="82" xfId="0" quotePrefix="1" applyNumberFormat="1" applyFont="1" applyFill="1" applyBorder="1" applyAlignment="1">
      <alignment horizontal="right" vertical="center"/>
    </xf>
    <xf numFmtId="2" fontId="44" fillId="13" borderId="43" xfId="0" applyNumberFormat="1" applyFont="1" applyFill="1" applyBorder="1"/>
    <xf numFmtId="3" fontId="44" fillId="19" borderId="67" xfId="0" applyNumberFormat="1" applyFont="1" applyFill="1" applyBorder="1"/>
    <xf numFmtId="167" fontId="1" fillId="15" borderId="43" xfId="0" applyNumberFormat="1" applyFont="1" applyFill="1" applyBorder="1"/>
    <xf numFmtId="3" fontId="1" fillId="21" borderId="0" xfId="0" applyNumberFormat="1" applyFont="1" applyFill="1"/>
    <xf numFmtId="164" fontId="45" fillId="9" borderId="47" xfId="0" applyNumberFormat="1" applyFont="1" applyFill="1" applyBorder="1"/>
    <xf numFmtId="164" fontId="45" fillId="9" borderId="48" xfId="0" applyNumberFormat="1" applyFont="1" applyFill="1" applyBorder="1"/>
    <xf numFmtId="0" fontId="37" fillId="9" borderId="60" xfId="0" applyFont="1" applyFill="1" applyBorder="1" applyAlignment="1">
      <alignment horizontal="center" vertical="center"/>
    </xf>
    <xf numFmtId="0" fontId="40" fillId="9" borderId="58" xfId="0" applyFont="1" applyFill="1" applyBorder="1" applyAlignment="1">
      <alignment horizontal="center" vertical="center"/>
    </xf>
    <xf numFmtId="0" fontId="37" fillId="9" borderId="0" xfId="0" applyFont="1" applyFill="1" applyAlignment="1">
      <alignment horizontal="center" vertical="center" wrapText="1"/>
    </xf>
    <xf numFmtId="164" fontId="46" fillId="9" borderId="61" xfId="0" applyNumberFormat="1" applyFont="1" applyFill="1" applyBorder="1"/>
    <xf numFmtId="0" fontId="112" fillId="9" borderId="0" xfId="0" applyFont="1" applyFill="1" applyAlignment="1">
      <alignment horizontal="center" vertical="center"/>
    </xf>
    <xf numFmtId="0" fontId="112" fillId="9" borderId="0" xfId="0" applyFont="1" applyFill="1" applyAlignment="1">
      <alignment horizontal="center" vertical="center" wrapText="1"/>
    </xf>
    <xf numFmtId="0" fontId="113" fillId="9" borderId="60" xfId="0" applyFont="1" applyFill="1" applyBorder="1" applyAlignment="1">
      <alignment horizontal="center" vertical="center"/>
    </xf>
    <xf numFmtId="0" fontId="113" fillId="9" borderId="0" xfId="0" applyFont="1" applyFill="1" applyAlignment="1">
      <alignment horizontal="center" vertical="center" wrapText="1"/>
    </xf>
    <xf numFmtId="0" fontId="100" fillId="3" borderId="30" xfId="0" applyFont="1" applyFill="1" applyBorder="1" applyAlignment="1">
      <alignment horizontal="center" vertical="center"/>
    </xf>
    <xf numFmtId="165" fontId="13" fillId="0" borderId="7" xfId="0" quotePrefix="1" applyNumberFormat="1" applyFont="1" applyBorder="1" applyAlignment="1">
      <alignment horizontal="left" vertical="center"/>
    </xf>
    <xf numFmtId="0" fontId="100" fillId="9" borderId="8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 wrapText="1"/>
    </xf>
    <xf numFmtId="0" fontId="115" fillId="9" borderId="58" xfId="0" applyFont="1" applyFill="1" applyBorder="1" applyAlignment="1">
      <alignment horizontal="center"/>
    </xf>
    <xf numFmtId="0" fontId="115" fillId="9" borderId="42" xfId="0" applyFont="1" applyFill="1" applyBorder="1" applyAlignment="1">
      <alignment horizontal="center" vertical="center" wrapText="1"/>
    </xf>
    <xf numFmtId="164" fontId="115" fillId="9" borderId="42" xfId="0" applyNumberFormat="1" applyFont="1" applyFill="1" applyBorder="1"/>
    <xf numFmtId="0" fontId="115" fillId="9" borderId="58" xfId="0" applyFont="1" applyFill="1" applyBorder="1" applyAlignment="1">
      <alignment horizontal="center" vertical="center" wrapText="1"/>
    </xf>
    <xf numFmtId="3" fontId="115" fillId="9" borderId="48" xfId="0" applyNumberFormat="1" applyFont="1" applyFill="1" applyBorder="1" applyAlignment="1">
      <alignment horizontal="right"/>
    </xf>
    <xf numFmtId="165" fontId="23" fillId="3" borderId="90" xfId="0" applyNumberFormat="1" applyFont="1" applyFill="1" applyBorder="1" applyAlignment="1">
      <alignment horizontal="left" vertical="center"/>
    </xf>
    <xf numFmtId="0" fontId="93" fillId="18" borderId="24" xfId="0" applyFont="1" applyFill="1" applyBorder="1" applyAlignment="1">
      <alignment horizontal="center" vertical="center" wrapText="1"/>
    </xf>
    <xf numFmtId="0" fontId="21" fillId="9" borderId="59" xfId="0" applyFont="1" applyFill="1" applyBorder="1" applyAlignment="1">
      <alignment horizontal="center" vertical="center"/>
    </xf>
    <xf numFmtId="0" fontId="21" fillId="9" borderId="58" xfId="0" applyFont="1" applyFill="1" applyBorder="1" applyAlignment="1">
      <alignment horizontal="center" vertical="center"/>
    </xf>
    <xf numFmtId="0" fontId="23" fillId="9" borderId="54" xfId="0" applyFont="1" applyFill="1" applyBorder="1" applyAlignment="1">
      <alignment horizontal="center"/>
    </xf>
    <xf numFmtId="173" fontId="34" fillId="9" borderId="42" xfId="0" applyNumberFormat="1" applyFont="1" applyFill="1" applyBorder="1" applyAlignment="1">
      <alignment horizontal="left"/>
    </xf>
    <xf numFmtId="0" fontId="120" fillId="0" borderId="0" xfId="0" applyFont="1"/>
    <xf numFmtId="0" fontId="121" fillId="0" borderId="0" xfId="1" applyFont="1"/>
    <xf numFmtId="14" fontId="120" fillId="0" borderId="0" xfId="0" applyNumberFormat="1" applyFont="1" applyAlignment="1">
      <alignment horizontal="center" vertical="top"/>
    </xf>
    <xf numFmtId="0" fontId="23" fillId="9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/>
    </xf>
    <xf numFmtId="14" fontId="92" fillId="0" borderId="0" xfId="0" applyNumberFormat="1" applyFont="1" applyAlignment="1">
      <alignment horizontal="left" vertical="top"/>
    </xf>
    <xf numFmtId="20" fontId="23" fillId="3" borderId="7" xfId="0" quotePrefix="1" applyNumberFormat="1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9" borderId="0" xfId="0" applyFont="1" applyFill="1" applyAlignment="1">
      <alignment vertical="center"/>
    </xf>
    <xf numFmtId="3" fontId="56" fillId="9" borderId="47" xfId="0" applyNumberFormat="1" applyFont="1" applyFill="1" applyBorder="1" applyAlignment="1">
      <alignment horizontal="right" vertical="center"/>
    </xf>
    <xf numFmtId="0" fontId="56" fillId="9" borderId="59" xfId="0" applyFont="1" applyFill="1" applyBorder="1" applyAlignment="1">
      <alignment horizontal="center" vertical="center"/>
    </xf>
    <xf numFmtId="0" fontId="67" fillId="9" borderId="60" xfId="0" applyFont="1" applyFill="1" applyBorder="1" applyAlignment="1">
      <alignment horizontal="center"/>
    </xf>
    <xf numFmtId="0" fontId="56" fillId="9" borderId="54" xfId="0" applyFont="1" applyFill="1" applyBorder="1" applyAlignment="1">
      <alignment horizontal="center" vertical="center" wrapText="1"/>
    </xf>
    <xf numFmtId="164" fontId="46" fillId="9" borderId="47" xfId="0" applyNumberFormat="1" applyFont="1" applyFill="1" applyBorder="1"/>
    <xf numFmtId="3" fontId="1" fillId="28" borderId="0" xfId="0" applyNumberFormat="1" applyFont="1" applyFill="1"/>
    <xf numFmtId="3" fontId="2" fillId="28" borderId="0" xfId="0" applyNumberFormat="1" applyFont="1" applyFill="1"/>
    <xf numFmtId="0" fontId="1" fillId="28" borderId="0" xfId="0" applyFont="1" applyFill="1"/>
    <xf numFmtId="0" fontId="21" fillId="11" borderId="5" xfId="0" applyFont="1" applyFill="1" applyBorder="1" applyAlignment="1">
      <alignment horizontal="left" vertical="center"/>
    </xf>
    <xf numFmtId="0" fontId="122" fillId="0" borderId="5" xfId="0" quotePrefix="1" applyFont="1" applyBorder="1" applyAlignment="1">
      <alignment vertical="center" wrapText="1"/>
    </xf>
    <xf numFmtId="0" fontId="76" fillId="0" borderId="5" xfId="0" quotePrefix="1" applyFont="1" applyBorder="1" applyAlignment="1">
      <alignment vertical="center"/>
    </xf>
    <xf numFmtId="0" fontId="100" fillId="11" borderId="3" xfId="0" applyFont="1" applyFill="1" applyBorder="1" applyAlignment="1">
      <alignment horizontal="center" vertical="center"/>
    </xf>
    <xf numFmtId="0" fontId="100" fillId="11" borderId="8" xfId="0" applyFont="1" applyFill="1" applyBorder="1" applyAlignment="1">
      <alignment horizontal="center" vertical="center"/>
    </xf>
    <xf numFmtId="0" fontId="100" fillId="11" borderId="51" xfId="0" applyFont="1" applyFill="1" applyBorder="1" applyAlignment="1">
      <alignment horizontal="center" vertical="center"/>
    </xf>
    <xf numFmtId="0" fontId="95" fillId="0" borderId="4" xfId="0" quotePrefix="1" applyFont="1" applyBorder="1" applyAlignment="1">
      <alignment vertical="center" wrapText="1"/>
    </xf>
    <xf numFmtId="0" fontId="9" fillId="9" borderId="8" xfId="0" applyFont="1" applyFill="1" applyBorder="1" applyAlignment="1">
      <alignment horizontal="right" vertical="top"/>
    </xf>
    <xf numFmtId="0" fontId="87" fillId="0" borderId="4" xfId="0" applyFont="1" applyBorder="1" applyAlignment="1">
      <alignment horizontal="center" vertical="center"/>
    </xf>
    <xf numFmtId="165" fontId="61" fillId="0" borderId="7" xfId="0" quotePrefix="1" applyNumberFormat="1" applyFont="1" applyBorder="1" applyAlignment="1">
      <alignment horizontal="right" vertical="center"/>
    </xf>
    <xf numFmtId="0" fontId="30" fillId="0" borderId="5" xfId="0" quotePrefix="1" applyFont="1" applyBorder="1" applyAlignment="1">
      <alignment vertical="center"/>
    </xf>
    <xf numFmtId="164" fontId="2" fillId="0" borderId="62" xfId="0" applyNumberFormat="1" applyFont="1" applyBorder="1"/>
    <xf numFmtId="3" fontId="2" fillId="0" borderId="62" xfId="0" applyNumberFormat="1" applyFont="1" applyBorder="1"/>
    <xf numFmtId="4" fontId="2" fillId="0" borderId="62" xfId="0" applyNumberFormat="1" applyFont="1" applyBorder="1"/>
    <xf numFmtId="164" fontId="16" fillId="9" borderId="0" xfId="0" applyNumberFormat="1" applyFont="1" applyFill="1" applyAlignment="1">
      <alignment horizontal="right" vertical="center" wrapText="1"/>
    </xf>
    <xf numFmtId="164" fontId="23" fillId="9" borderId="42" xfId="0" applyNumberFormat="1" applyFont="1" applyFill="1" applyBorder="1" applyAlignment="1">
      <alignment horizontal="right" vertical="center" wrapText="1"/>
    </xf>
    <xf numFmtId="164" fontId="16" fillId="9" borderId="54" xfId="0" applyNumberFormat="1" applyFont="1" applyFill="1" applyBorder="1" applyAlignment="1">
      <alignment horizontal="right" vertical="center" wrapText="1"/>
    </xf>
    <xf numFmtId="164" fontId="33" fillId="9" borderId="54" xfId="0" applyNumberFormat="1" applyFont="1" applyFill="1" applyBorder="1" applyAlignment="1">
      <alignment horizontal="right" vertical="center" wrapText="1"/>
    </xf>
    <xf numFmtId="164" fontId="112" fillId="9" borderId="0" xfId="0" applyNumberFormat="1" applyFont="1" applyFill="1" applyAlignment="1">
      <alignment horizontal="right" vertical="center" wrapText="1"/>
    </xf>
    <xf numFmtId="164" fontId="43" fillId="9" borderId="0" xfId="0" applyNumberFormat="1" applyFont="1" applyFill="1" applyAlignment="1">
      <alignment horizontal="right" vertical="center" wrapText="1"/>
    </xf>
    <xf numFmtId="164" fontId="75" fillId="9" borderId="0" xfId="0" applyNumberFormat="1" applyFont="1" applyFill="1" applyAlignment="1">
      <alignment horizontal="right" vertical="center" wrapText="1"/>
    </xf>
    <xf numFmtId="164" fontId="98" fillId="9" borderId="0" xfId="0" applyNumberFormat="1" applyFont="1" applyFill="1" applyAlignment="1">
      <alignment horizontal="right" vertical="center" wrapText="1"/>
    </xf>
    <xf numFmtId="164" fontId="56" fillId="9" borderId="54" xfId="0" applyNumberFormat="1" applyFont="1" applyFill="1" applyBorder="1" applyAlignment="1">
      <alignment horizontal="right" vertical="center" wrapText="1"/>
    </xf>
    <xf numFmtId="164" fontId="67" fillId="9" borderId="0" xfId="0" applyNumberFormat="1" applyFont="1" applyFill="1" applyAlignment="1">
      <alignment horizontal="right" vertical="center" wrapText="1"/>
    </xf>
    <xf numFmtId="164" fontId="113" fillId="9" borderId="0" xfId="0" applyNumberFormat="1" applyFont="1" applyFill="1" applyAlignment="1">
      <alignment horizontal="right" vertical="center" wrapText="1"/>
    </xf>
    <xf numFmtId="164" fontId="37" fillId="9" borderId="0" xfId="0" applyNumberFormat="1" applyFont="1" applyFill="1" applyAlignment="1">
      <alignment horizontal="right" vertical="center" wrapText="1"/>
    </xf>
    <xf numFmtId="164" fontId="40" fillId="9" borderId="42" xfId="0" applyNumberFormat="1" applyFont="1" applyFill="1" applyBorder="1" applyAlignment="1">
      <alignment horizontal="right" vertical="center" wrapText="1"/>
    </xf>
    <xf numFmtId="0" fontId="21" fillId="9" borderId="47" xfId="0" applyFont="1" applyFill="1" applyBorder="1" applyAlignment="1">
      <alignment horizontal="center"/>
    </xf>
    <xf numFmtId="173" fontId="35" fillId="9" borderId="47" xfId="0" applyNumberFormat="1" applyFont="1" applyFill="1" applyBorder="1" applyAlignment="1">
      <alignment horizontal="left"/>
    </xf>
    <xf numFmtId="164" fontId="40" fillId="9" borderId="61" xfId="0" applyNumberFormat="1" applyFont="1" applyFill="1" applyBorder="1" applyAlignment="1">
      <alignment horizontal="right"/>
    </xf>
    <xf numFmtId="164" fontId="16" fillId="9" borderId="47" xfId="0" applyNumberFormat="1" applyFont="1" applyFill="1" applyBorder="1" applyAlignment="1">
      <alignment horizontal="right"/>
    </xf>
    <xf numFmtId="164" fontId="23" fillId="9" borderId="48" xfId="0" applyNumberFormat="1" applyFont="1" applyFill="1" applyBorder="1" applyAlignment="1">
      <alignment horizontal="right"/>
    </xf>
    <xf numFmtId="164" fontId="33" fillId="9" borderId="61" xfId="0" applyNumberFormat="1" applyFont="1" applyFill="1" applyBorder="1"/>
    <xf numFmtId="164" fontId="37" fillId="9" borderId="48" xfId="0" applyNumberFormat="1" applyFont="1" applyFill="1" applyBorder="1"/>
    <xf numFmtId="164" fontId="45" fillId="9" borderId="61" xfId="0" applyNumberFormat="1" applyFont="1" applyFill="1" applyBorder="1"/>
    <xf numFmtId="3" fontId="45" fillId="9" borderId="47" xfId="0" applyNumberFormat="1" applyFont="1" applyFill="1" applyBorder="1" applyAlignment="1">
      <alignment horizontal="right"/>
    </xf>
    <xf numFmtId="3" fontId="16" fillId="9" borderId="54" xfId="0" applyNumberFormat="1" applyFont="1" applyFill="1" applyBorder="1" applyAlignment="1">
      <alignment horizontal="right"/>
    </xf>
    <xf numFmtId="3" fontId="33" fillId="9" borderId="54" xfId="0" applyNumberFormat="1" applyFont="1" applyFill="1" applyBorder="1" applyAlignment="1">
      <alignment horizontal="right" vertical="center"/>
    </xf>
    <xf numFmtId="3" fontId="112" fillId="9" borderId="0" xfId="0" applyNumberFormat="1" applyFont="1" applyFill="1" applyAlignment="1">
      <alignment horizontal="right" vertical="center"/>
    </xf>
    <xf numFmtId="3" fontId="75" fillId="9" borderId="0" xfId="0" applyNumberFormat="1" applyFont="1" applyFill="1" applyAlignment="1">
      <alignment horizontal="right" vertical="center"/>
    </xf>
    <xf numFmtId="3" fontId="98" fillId="9" borderId="0" xfId="0" applyNumberFormat="1" applyFont="1" applyFill="1" applyAlignment="1">
      <alignment horizontal="right" vertical="center"/>
    </xf>
    <xf numFmtId="3" fontId="56" fillId="9" borderId="0" xfId="0" applyNumberFormat="1" applyFont="1" applyFill="1" applyAlignment="1">
      <alignment horizontal="right" vertical="center"/>
    </xf>
    <xf numFmtId="3" fontId="67" fillId="9" borderId="0" xfId="0" applyNumberFormat="1" applyFont="1" applyFill="1" applyAlignment="1">
      <alignment horizontal="right" vertical="center"/>
    </xf>
    <xf numFmtId="3" fontId="113" fillId="9" borderId="0" xfId="0" applyNumberFormat="1" applyFont="1" applyFill="1" applyAlignment="1">
      <alignment horizontal="right" vertical="center"/>
    </xf>
    <xf numFmtId="3" fontId="37" fillId="9" borderId="0" xfId="0" applyNumberFormat="1" applyFont="1" applyFill="1" applyAlignment="1">
      <alignment horizontal="right" vertical="center"/>
    </xf>
    <xf numFmtId="3" fontId="40" fillId="9" borderId="42" xfId="0" applyNumberFormat="1" applyFont="1" applyFill="1" applyBorder="1" applyAlignment="1">
      <alignment horizontal="right" vertical="center"/>
    </xf>
    <xf numFmtId="3" fontId="45" fillId="9" borderId="48" xfId="0" applyNumberFormat="1" applyFont="1" applyFill="1" applyBorder="1" applyAlignment="1">
      <alignment horizontal="right"/>
    </xf>
    <xf numFmtId="3" fontId="43" fillId="9" borderId="0" xfId="0" applyNumberFormat="1" applyFont="1" applyFill="1" applyAlignment="1">
      <alignment horizontal="right" vertical="center"/>
    </xf>
    <xf numFmtId="168" fontId="26" fillId="6" borderId="0" xfId="0" applyNumberFormat="1" applyFont="1" applyFill="1" applyAlignment="1">
      <alignment vertical="center"/>
    </xf>
    <xf numFmtId="0" fontId="9" fillId="9" borderId="92" xfId="0" applyFont="1" applyFill="1" applyBorder="1"/>
    <xf numFmtId="0" fontId="9" fillId="9" borderId="91" xfId="0" applyFont="1" applyFill="1" applyBorder="1" applyAlignment="1">
      <alignment horizontal="right"/>
    </xf>
    <xf numFmtId="0" fontId="9" fillId="9" borderId="42" xfId="0" applyFont="1" applyFill="1" applyBorder="1" applyAlignment="1">
      <alignment horizontal="right"/>
    </xf>
    <xf numFmtId="0" fontId="0" fillId="0" borderId="39" xfId="0" applyBorder="1"/>
    <xf numFmtId="167" fontId="71" fillId="0" borderId="0" xfId="0" applyNumberFormat="1" applyFont="1"/>
    <xf numFmtId="165" fontId="1" fillId="22" borderId="62" xfId="0" applyNumberFormat="1" applyFont="1" applyFill="1" applyBorder="1"/>
    <xf numFmtId="165" fontId="30" fillId="0" borderId="7" xfId="0" quotePrefix="1" applyNumberFormat="1" applyFont="1" applyBorder="1" applyAlignment="1">
      <alignment horizontal="left" vertical="center"/>
    </xf>
    <xf numFmtId="0" fontId="15" fillId="4" borderId="4" xfId="0" applyFont="1" applyFill="1" applyBorder="1" applyAlignment="1">
      <alignment vertical="center"/>
    </xf>
    <xf numFmtId="171" fontId="23" fillId="3" borderId="28" xfId="0" applyNumberFormat="1" applyFont="1" applyFill="1" applyBorder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6" fillId="9" borderId="39" xfId="0" applyFont="1" applyFill="1" applyBorder="1" applyAlignment="1">
      <alignment horizontal="center" vertical="center"/>
    </xf>
    <xf numFmtId="3" fontId="33" fillId="9" borderId="54" xfId="0" applyNumberFormat="1" applyFont="1" applyFill="1" applyBorder="1" applyAlignment="1">
      <alignment horizontal="right"/>
    </xf>
    <xf numFmtId="0" fontId="33" fillId="9" borderId="54" xfId="0" applyFont="1" applyFill="1" applyBorder="1" applyAlignment="1">
      <alignment horizontal="center"/>
    </xf>
    <xf numFmtId="164" fontId="98" fillId="9" borderId="47" xfId="0" applyNumberFormat="1" applyFont="1" applyFill="1" applyBorder="1"/>
    <xf numFmtId="3" fontId="98" fillId="9" borderId="47" xfId="0" applyNumberFormat="1" applyFont="1" applyFill="1" applyBorder="1" applyAlignment="1">
      <alignment horizontal="right" vertical="center"/>
    </xf>
    <xf numFmtId="173" fontId="35" fillId="9" borderId="48" xfId="0" applyNumberFormat="1" applyFont="1" applyFill="1" applyBorder="1" applyAlignment="1">
      <alignment horizontal="left"/>
    </xf>
    <xf numFmtId="3" fontId="33" fillId="9" borderId="61" xfId="0" applyNumberFormat="1" applyFont="1" applyFill="1" applyBorder="1" applyAlignment="1">
      <alignment horizontal="right"/>
    </xf>
    <xf numFmtId="3" fontId="23" fillId="9" borderId="48" xfId="0" applyNumberFormat="1" applyFont="1" applyFill="1" applyBorder="1" applyAlignment="1">
      <alignment horizontal="right"/>
    </xf>
    <xf numFmtId="3" fontId="16" fillId="9" borderId="61" xfId="0" applyNumberFormat="1" applyFont="1" applyFill="1" applyBorder="1" applyAlignment="1">
      <alignment horizontal="right"/>
    </xf>
    <xf numFmtId="3" fontId="33" fillId="9" borderId="61" xfId="0" applyNumberFormat="1" applyFont="1" applyFill="1" applyBorder="1" applyAlignment="1">
      <alignment horizontal="right" vertical="center"/>
    </xf>
    <xf numFmtId="3" fontId="112" fillId="9" borderId="47" xfId="0" applyNumberFormat="1" applyFont="1" applyFill="1" applyBorder="1" applyAlignment="1">
      <alignment horizontal="right" vertical="center"/>
    </xf>
    <xf numFmtId="3" fontId="43" fillId="9" borderId="47" xfId="0" applyNumberFormat="1" applyFont="1" applyFill="1" applyBorder="1" applyAlignment="1">
      <alignment horizontal="right" vertical="center"/>
    </xf>
    <xf numFmtId="3" fontId="75" fillId="9" borderId="47" xfId="0" applyNumberFormat="1" applyFont="1" applyFill="1" applyBorder="1" applyAlignment="1">
      <alignment horizontal="right" vertical="center"/>
    </xf>
    <xf numFmtId="3" fontId="75" fillId="9" borderId="42" xfId="0" applyNumberFormat="1" applyFont="1" applyFill="1" applyBorder="1" applyAlignment="1">
      <alignment horizontal="right"/>
    </xf>
    <xf numFmtId="3" fontId="69" fillId="9" borderId="54" xfId="0" applyNumberFormat="1" applyFont="1" applyFill="1" applyBorder="1" applyAlignment="1">
      <alignment horizontal="right"/>
    </xf>
    <xf numFmtId="3" fontId="70" fillId="9" borderId="0" xfId="0" applyNumberFormat="1" applyFont="1" applyFill="1" applyAlignment="1">
      <alignment horizontal="right"/>
    </xf>
    <xf numFmtId="3" fontId="115" fillId="9" borderId="42" xfId="0" applyNumberFormat="1" applyFont="1" applyFill="1" applyBorder="1" applyAlignment="1">
      <alignment horizontal="right"/>
    </xf>
    <xf numFmtId="3" fontId="46" fillId="9" borderId="61" xfId="0" applyNumberFormat="1" applyFont="1" applyFill="1" applyBorder="1" applyAlignment="1">
      <alignment horizontal="right"/>
    </xf>
    <xf numFmtId="164" fontId="115" fillId="9" borderId="48" xfId="0" applyNumberFormat="1" applyFont="1" applyFill="1" applyBorder="1"/>
    <xf numFmtId="0" fontId="31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right"/>
    </xf>
    <xf numFmtId="9" fontId="9" fillId="9" borderId="0" xfId="0" applyNumberFormat="1" applyFont="1" applyFill="1"/>
    <xf numFmtId="14" fontId="120" fillId="0" borderId="0" xfId="0" applyNumberFormat="1" applyFont="1" applyAlignment="1">
      <alignment horizontal="left" vertical="top"/>
    </xf>
    <xf numFmtId="0" fontId="120" fillId="0" borderId="0" xfId="0" applyFont="1" applyAlignment="1">
      <alignment wrapText="1"/>
    </xf>
    <xf numFmtId="167" fontId="15" fillId="6" borderId="0" xfId="0" applyNumberFormat="1" applyFont="1" applyFill="1"/>
    <xf numFmtId="165" fontId="30" fillId="0" borderId="11" xfId="0" quotePrefix="1" applyNumberFormat="1" applyFont="1" applyBorder="1" applyAlignment="1">
      <alignment horizontal="left" vertical="center"/>
    </xf>
    <xf numFmtId="0" fontId="9" fillId="9" borderId="42" xfId="0" applyFont="1" applyFill="1" applyBorder="1"/>
    <xf numFmtId="0" fontId="15" fillId="9" borderId="68" xfId="0" applyFont="1" applyFill="1" applyBorder="1"/>
    <xf numFmtId="0" fontId="24" fillId="9" borderId="52" xfId="0" applyFont="1" applyFill="1" applyBorder="1" applyAlignment="1">
      <alignment wrapText="1"/>
    </xf>
    <xf numFmtId="0" fontId="24" fillId="9" borderId="33" xfId="0" applyFont="1" applyFill="1" applyBorder="1" applyAlignment="1">
      <alignment vertical="center"/>
    </xf>
    <xf numFmtId="0" fontId="24" fillId="9" borderId="35" xfId="0" applyFont="1" applyFill="1" applyBorder="1" applyAlignment="1">
      <alignment vertical="center"/>
    </xf>
    <xf numFmtId="0" fontId="21" fillId="9" borderId="35" xfId="0" applyFont="1" applyFill="1" applyBorder="1" applyAlignment="1">
      <alignment vertical="center"/>
    </xf>
    <xf numFmtId="0" fontId="21" fillId="9" borderId="37" xfId="0" applyFont="1" applyFill="1" applyBorder="1" applyAlignment="1">
      <alignment vertical="center"/>
    </xf>
    <xf numFmtId="0" fontId="23" fillId="9" borderId="38" xfId="0" quotePrefix="1" applyFont="1" applyFill="1" applyBorder="1" applyAlignment="1">
      <alignment vertical="center"/>
    </xf>
    <xf numFmtId="0" fontId="56" fillId="9" borderId="60" xfId="0" applyFont="1" applyFill="1" applyBorder="1" applyAlignment="1">
      <alignment horizontal="center" vertical="center"/>
    </xf>
    <xf numFmtId="164" fontId="56" fillId="9" borderId="0" xfId="0" applyNumberFormat="1" applyFont="1" applyFill="1" applyAlignment="1">
      <alignment horizontal="right" vertical="center" wrapText="1"/>
    </xf>
    <xf numFmtId="164" fontId="56" fillId="9" borderId="47" xfId="0" applyNumberFormat="1" applyFont="1" applyFill="1" applyBorder="1"/>
    <xf numFmtId="3" fontId="56" fillId="9" borderId="54" xfId="0" applyNumberFormat="1" applyFont="1" applyFill="1" applyBorder="1" applyAlignment="1">
      <alignment horizontal="right" vertical="center"/>
    </xf>
    <xf numFmtId="3" fontId="56" fillId="9" borderId="61" xfId="0" applyNumberFormat="1" applyFont="1" applyFill="1" applyBorder="1" applyAlignment="1">
      <alignment horizontal="right" vertical="center"/>
    </xf>
    <xf numFmtId="0" fontId="124" fillId="9" borderId="60" xfId="0" applyFont="1" applyFill="1" applyBorder="1" applyAlignment="1">
      <alignment horizontal="center" vertical="center"/>
    </xf>
    <xf numFmtId="0" fontId="124" fillId="9" borderId="0" xfId="0" applyFont="1" applyFill="1" applyAlignment="1">
      <alignment horizontal="center" vertical="center" wrapText="1"/>
    </xf>
    <xf numFmtId="164" fontId="124" fillId="9" borderId="0" xfId="0" applyNumberFormat="1" applyFont="1" applyFill="1" applyAlignment="1">
      <alignment horizontal="right" vertical="center" wrapText="1"/>
    </xf>
    <xf numFmtId="164" fontId="124" fillId="9" borderId="47" xfId="0" applyNumberFormat="1" applyFont="1" applyFill="1" applyBorder="1"/>
    <xf numFmtId="0" fontId="124" fillId="9" borderId="0" xfId="0" applyFont="1" applyFill="1" applyAlignment="1">
      <alignment horizontal="center" vertical="center"/>
    </xf>
    <xf numFmtId="3" fontId="124" fillId="9" borderId="0" xfId="0" applyNumberFormat="1" applyFont="1" applyFill="1" applyAlignment="1">
      <alignment horizontal="right" vertical="center"/>
    </xf>
    <xf numFmtId="3" fontId="124" fillId="9" borderId="47" xfId="0" applyNumberFormat="1" applyFont="1" applyFill="1" applyBorder="1" applyAlignment="1">
      <alignment horizontal="right" vertical="center"/>
    </xf>
    <xf numFmtId="3" fontId="1" fillId="14" borderId="0" xfId="0" applyNumberFormat="1" applyFont="1" applyFill="1"/>
    <xf numFmtId="3" fontId="44" fillId="14" borderId="43" xfId="0" applyNumberFormat="1" applyFont="1" applyFill="1" applyBorder="1"/>
    <xf numFmtId="3" fontId="44" fillId="14" borderId="67" xfId="0" applyNumberFormat="1" applyFont="1" applyFill="1" applyBorder="1"/>
    <xf numFmtId="165" fontId="2" fillId="0" borderId="62" xfId="0" applyNumberFormat="1" applyFont="1" applyBorder="1"/>
    <xf numFmtId="0" fontId="9" fillId="9" borderId="15" xfId="0" applyFont="1" applyFill="1" applyBorder="1" applyAlignment="1">
      <alignment horizontal="right" vertical="top"/>
    </xf>
    <xf numFmtId="0" fontId="100" fillId="0" borderId="51" xfId="0" applyFont="1" applyBorder="1" applyAlignment="1">
      <alignment horizontal="center" vertical="center"/>
    </xf>
    <xf numFmtId="0" fontId="24" fillId="0" borderId="4" xfId="0" applyFont="1" applyBorder="1" applyAlignment="1">
      <alignment vertical="center"/>
    </xf>
    <xf numFmtId="164" fontId="125" fillId="9" borderId="0" xfId="0" applyNumberFormat="1" applyFont="1" applyFill="1" applyAlignment="1">
      <alignment horizontal="left" vertical="center" wrapText="1"/>
    </xf>
    <xf numFmtId="164" fontId="11" fillId="9" borderId="5" xfId="0" applyNumberFormat="1" applyFont="1" applyFill="1" applyBorder="1" applyAlignment="1">
      <alignment horizontal="left" vertical="center"/>
    </xf>
    <xf numFmtId="164" fontId="62" fillId="9" borderId="29" xfId="0" applyNumberFormat="1" applyFont="1" applyFill="1" applyBorder="1" applyAlignment="1">
      <alignment horizontal="center" vertical="center"/>
    </xf>
    <xf numFmtId="165" fontId="11" fillId="9" borderId="0" xfId="0" applyNumberFormat="1" applyFont="1" applyFill="1" applyAlignment="1">
      <alignment horizontal="right" vertical="center"/>
    </xf>
    <xf numFmtId="165" fontId="30" fillId="0" borderId="81" xfId="0" quotePrefix="1" applyNumberFormat="1" applyFont="1" applyBorder="1" applyAlignment="1">
      <alignment horizontal="left" vertical="center"/>
    </xf>
    <xf numFmtId="0" fontId="23" fillId="6" borderId="0" xfId="0" applyFont="1" applyFill="1" applyAlignment="1">
      <alignment horizontal="center" vertical="center"/>
    </xf>
    <xf numFmtId="3" fontId="23" fillId="6" borderId="0" xfId="0" applyNumberFormat="1" applyFont="1" applyFill="1"/>
    <xf numFmtId="2" fontId="105" fillId="0" borderId="0" xfId="0" applyNumberFormat="1" applyFont="1"/>
    <xf numFmtId="3" fontId="16" fillId="7" borderId="0" xfId="0" applyNumberFormat="1" applyFont="1" applyFill="1" applyAlignment="1">
      <alignment vertical="center"/>
    </xf>
    <xf numFmtId="164" fontId="16" fillId="7" borderId="0" xfId="0" quotePrefix="1" applyNumberFormat="1" applyFont="1" applyFill="1" applyAlignment="1">
      <alignment horizontal="center" vertical="center"/>
    </xf>
    <xf numFmtId="164" fontId="13" fillId="7" borderId="0" xfId="0" applyNumberFormat="1" applyFont="1" applyFill="1" applyAlignment="1">
      <alignment vertical="center"/>
    </xf>
    <xf numFmtId="0" fontId="16" fillId="7" borderId="0" xfId="0" applyFont="1" applyFill="1" applyAlignment="1">
      <alignment horizontal="left"/>
    </xf>
    <xf numFmtId="3" fontId="36" fillId="7" borderId="0" xfId="0" applyNumberFormat="1" applyFont="1" applyFill="1" applyAlignment="1">
      <alignment horizontal="center" vertical="center"/>
    </xf>
    <xf numFmtId="0" fontId="9" fillId="9" borderId="58" xfId="0" applyFont="1" applyFill="1" applyBorder="1" applyAlignment="1">
      <alignment horizontal="right" vertical="top"/>
    </xf>
    <xf numFmtId="0" fontId="9" fillId="9" borderId="42" xfId="0" applyFont="1" applyFill="1" applyBorder="1" applyAlignment="1">
      <alignment horizontal="right" vertical="top"/>
    </xf>
    <xf numFmtId="0" fontId="9" fillId="9" borderId="48" xfId="0" applyFont="1" applyFill="1" applyBorder="1" applyAlignment="1">
      <alignment horizontal="right" vertical="top"/>
    </xf>
    <xf numFmtId="165" fontId="24" fillId="11" borderId="11" xfId="0" applyNumberFormat="1" applyFont="1" applyFill="1" applyBorder="1" applyAlignment="1">
      <alignment horizontal="left" vertical="center"/>
    </xf>
    <xf numFmtId="164" fontId="26" fillId="8" borderId="0" xfId="0" applyNumberFormat="1" applyFont="1" applyFill="1" applyAlignment="1">
      <alignment vertical="center"/>
    </xf>
    <xf numFmtId="3" fontId="26" fillId="8" borderId="0" xfId="0" applyNumberFormat="1" applyFont="1" applyFill="1" applyAlignment="1">
      <alignment vertical="center"/>
    </xf>
    <xf numFmtId="168" fontId="26" fillId="6" borderId="24" xfId="0" applyNumberFormat="1" applyFont="1" applyFill="1" applyBorder="1" applyAlignment="1">
      <alignment vertical="center"/>
    </xf>
    <xf numFmtId="3" fontId="1" fillId="2" borderId="0" xfId="0" applyNumberFormat="1" applyFont="1" applyFill="1"/>
    <xf numFmtId="0" fontId="1" fillId="2" borderId="0" xfId="0" applyFont="1" applyFill="1"/>
    <xf numFmtId="0" fontId="1" fillId="2" borderId="62" xfId="0" applyFont="1" applyFill="1" applyBorder="1"/>
    <xf numFmtId="0" fontId="1" fillId="2" borderId="0" xfId="0" applyFont="1" applyFill="1" applyAlignment="1">
      <alignment horizontal="right"/>
    </xf>
    <xf numFmtId="0" fontId="83" fillId="18" borderId="25" xfId="0" applyFont="1" applyFill="1" applyBorder="1" applyAlignment="1">
      <alignment horizontal="center" vertical="center" wrapText="1"/>
    </xf>
    <xf numFmtId="0" fontId="7" fillId="18" borderId="26" xfId="0" applyFont="1" applyFill="1" applyBorder="1" applyAlignment="1">
      <alignment horizontal="center" vertical="center" wrapText="1"/>
    </xf>
    <xf numFmtId="165" fontId="9" fillId="0" borderId="11" xfId="0" quotePrefix="1" applyNumberFormat="1" applyFont="1" applyBorder="1" applyAlignment="1">
      <alignment horizontal="left" vertical="center"/>
    </xf>
    <xf numFmtId="0" fontId="93" fillId="0" borderId="0" xfId="0" applyFont="1"/>
    <xf numFmtId="0" fontId="24" fillId="6" borderId="6" xfId="0" applyFont="1" applyFill="1" applyBorder="1" applyAlignment="1">
      <alignment horizontal="center"/>
    </xf>
    <xf numFmtId="0" fontId="24" fillId="6" borderId="15" xfId="0" applyFont="1" applyFill="1" applyBorder="1" applyAlignment="1">
      <alignment horizontal="center"/>
    </xf>
    <xf numFmtId="0" fontId="24" fillId="6" borderId="4" xfId="0" applyFont="1" applyFill="1" applyBorder="1" applyAlignment="1">
      <alignment horizontal="center"/>
    </xf>
    <xf numFmtId="0" fontId="24" fillId="6" borderId="5" xfId="0" applyFont="1" applyFill="1" applyBorder="1" applyAlignment="1">
      <alignment horizontal="center"/>
    </xf>
    <xf numFmtId="3" fontId="49" fillId="4" borderId="24" xfId="0" applyNumberFormat="1" applyFont="1" applyFill="1" applyBorder="1" applyAlignment="1">
      <alignment horizontal="center"/>
    </xf>
    <xf numFmtId="3" fontId="49" fillId="4" borderId="25" xfId="0" applyNumberFormat="1" applyFont="1" applyFill="1" applyBorder="1" applyAlignment="1">
      <alignment horizontal="center"/>
    </xf>
    <xf numFmtId="3" fontId="49" fillId="4" borderId="26" xfId="0" applyNumberFormat="1" applyFont="1" applyFill="1" applyBorder="1" applyAlignment="1">
      <alignment horizontal="center"/>
    </xf>
    <xf numFmtId="0" fontId="38" fillId="4" borderId="32" xfId="0" applyFont="1" applyFill="1" applyBorder="1" applyAlignment="1">
      <alignment horizontal="center" vertical="center" wrapText="1"/>
    </xf>
    <xf numFmtId="0" fontId="38" fillId="4" borderId="38" xfId="0" applyFont="1" applyFill="1" applyBorder="1" applyAlignment="1">
      <alignment horizontal="center" vertical="center" wrapText="1"/>
    </xf>
    <xf numFmtId="0" fontId="38" fillId="4" borderId="33" xfId="0" applyFont="1" applyFill="1" applyBorder="1" applyAlignment="1">
      <alignment horizontal="center" vertical="center" wrapText="1"/>
    </xf>
    <xf numFmtId="0" fontId="38" fillId="4" borderId="34" xfId="0" applyFont="1" applyFill="1" applyBorder="1" applyAlignment="1">
      <alignment horizontal="center" vertical="center" wrapText="1"/>
    </xf>
    <xf numFmtId="0" fontId="38" fillId="4" borderId="0" xfId="0" applyFont="1" applyFill="1" applyAlignment="1">
      <alignment horizontal="center" vertical="center" wrapText="1"/>
    </xf>
    <xf numFmtId="0" fontId="38" fillId="4" borderId="35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4" fontId="49" fillId="4" borderId="55" xfId="0" applyNumberFormat="1" applyFont="1" applyFill="1" applyBorder="1" applyAlignment="1">
      <alignment horizontal="center" vertical="center" wrapText="1"/>
    </xf>
    <xf numFmtId="4" fontId="49" fillId="4" borderId="56" xfId="0" applyNumberFormat="1" applyFont="1" applyFill="1" applyBorder="1" applyAlignment="1">
      <alignment horizontal="center" vertical="center" wrapText="1"/>
    </xf>
    <xf numFmtId="4" fontId="49" fillId="4" borderId="57" xfId="0" applyNumberFormat="1" applyFont="1" applyFill="1" applyBorder="1" applyAlignment="1">
      <alignment horizontal="center" vertical="center" wrapText="1"/>
    </xf>
    <xf numFmtId="0" fontId="79" fillId="5" borderId="32" xfId="0" applyFont="1" applyFill="1" applyBorder="1" applyAlignment="1">
      <alignment horizontal="left" vertical="center" wrapText="1"/>
    </xf>
    <xf numFmtId="0" fontId="79" fillId="5" borderId="38" xfId="0" applyFont="1" applyFill="1" applyBorder="1" applyAlignment="1">
      <alignment horizontal="left" vertical="center" wrapText="1"/>
    </xf>
    <xf numFmtId="0" fontId="79" fillId="5" borderId="33" xfId="0" applyFont="1" applyFill="1" applyBorder="1" applyAlignment="1">
      <alignment horizontal="left" vertical="center" wrapText="1"/>
    </xf>
    <xf numFmtId="0" fontId="79" fillId="5" borderId="34" xfId="0" applyFont="1" applyFill="1" applyBorder="1" applyAlignment="1">
      <alignment horizontal="left" vertical="center" wrapText="1"/>
    </xf>
    <xf numFmtId="0" fontId="79" fillId="5" borderId="0" xfId="0" applyFont="1" applyFill="1" applyAlignment="1">
      <alignment horizontal="left" vertical="center" wrapText="1"/>
    </xf>
    <xf numFmtId="0" fontId="79" fillId="5" borderId="35" xfId="0" applyFont="1" applyFill="1" applyBorder="1" applyAlignment="1">
      <alignment horizontal="left" vertical="center" wrapText="1"/>
    </xf>
    <xf numFmtId="0" fontId="79" fillId="5" borderId="36" xfId="0" applyFont="1" applyFill="1" applyBorder="1" applyAlignment="1">
      <alignment horizontal="left" vertical="center" wrapText="1"/>
    </xf>
    <xf numFmtId="0" fontId="79" fillId="5" borderId="39" xfId="0" applyFont="1" applyFill="1" applyBorder="1" applyAlignment="1">
      <alignment horizontal="left" vertical="center" wrapText="1"/>
    </xf>
    <xf numFmtId="0" fontId="79" fillId="5" borderId="37" xfId="0" applyFont="1" applyFill="1" applyBorder="1" applyAlignment="1">
      <alignment horizontal="left" vertical="center" wrapText="1"/>
    </xf>
    <xf numFmtId="0" fontId="79" fillId="2" borderId="32" xfId="0" applyFont="1" applyFill="1" applyBorder="1" applyAlignment="1">
      <alignment horizontal="left" vertical="center" wrapText="1"/>
    </xf>
    <xf numFmtId="0" fontId="79" fillId="2" borderId="38" xfId="0" applyFont="1" applyFill="1" applyBorder="1" applyAlignment="1">
      <alignment horizontal="left" vertical="center" wrapText="1"/>
    </xf>
    <xf numFmtId="0" fontId="79" fillId="2" borderId="33" xfId="0" applyFont="1" applyFill="1" applyBorder="1" applyAlignment="1">
      <alignment horizontal="left" vertical="center" wrapText="1"/>
    </xf>
    <xf numFmtId="0" fontId="79" fillId="2" borderId="34" xfId="0" applyFont="1" applyFill="1" applyBorder="1" applyAlignment="1">
      <alignment horizontal="left" vertical="center" wrapText="1"/>
    </xf>
    <xf numFmtId="0" fontId="79" fillId="2" borderId="0" xfId="0" applyFont="1" applyFill="1" applyAlignment="1">
      <alignment horizontal="left" vertical="center" wrapText="1"/>
    </xf>
    <xf numFmtId="0" fontId="79" fillId="2" borderId="35" xfId="0" applyFont="1" applyFill="1" applyBorder="1" applyAlignment="1">
      <alignment horizontal="left" vertical="center" wrapText="1"/>
    </xf>
    <xf numFmtId="0" fontId="79" fillId="2" borderId="36" xfId="0" applyFont="1" applyFill="1" applyBorder="1" applyAlignment="1">
      <alignment horizontal="left" vertical="center" wrapText="1"/>
    </xf>
    <xf numFmtId="0" fontId="79" fillId="2" borderId="39" xfId="0" applyFont="1" applyFill="1" applyBorder="1" applyAlignment="1">
      <alignment horizontal="left" vertical="center" wrapText="1"/>
    </xf>
    <xf numFmtId="0" fontId="79" fillId="2" borderId="37" xfId="0" applyFont="1" applyFill="1" applyBorder="1" applyAlignment="1">
      <alignment horizontal="left" vertical="center" wrapText="1"/>
    </xf>
    <xf numFmtId="0" fontId="79" fillId="4" borderId="32" xfId="0" applyFont="1" applyFill="1" applyBorder="1" applyAlignment="1">
      <alignment horizontal="left" vertical="center" wrapText="1"/>
    </xf>
    <xf numFmtId="0" fontId="79" fillId="4" borderId="38" xfId="0" applyFont="1" applyFill="1" applyBorder="1" applyAlignment="1">
      <alignment horizontal="left" vertical="center" wrapText="1"/>
    </xf>
    <xf numFmtId="0" fontId="79" fillId="4" borderId="33" xfId="0" applyFont="1" applyFill="1" applyBorder="1" applyAlignment="1">
      <alignment horizontal="left" vertical="center" wrapText="1"/>
    </xf>
    <xf numFmtId="0" fontId="79" fillId="4" borderId="34" xfId="0" applyFont="1" applyFill="1" applyBorder="1" applyAlignment="1">
      <alignment horizontal="left" vertical="center" wrapText="1"/>
    </xf>
    <xf numFmtId="0" fontId="79" fillId="4" borderId="0" xfId="0" applyFont="1" applyFill="1" applyAlignment="1">
      <alignment horizontal="left" vertical="center" wrapText="1"/>
    </xf>
    <xf numFmtId="0" fontId="79" fillId="4" borderId="35" xfId="0" applyFont="1" applyFill="1" applyBorder="1" applyAlignment="1">
      <alignment horizontal="left" vertical="center" wrapText="1"/>
    </xf>
    <xf numFmtId="0" fontId="79" fillId="4" borderId="36" xfId="0" applyFont="1" applyFill="1" applyBorder="1" applyAlignment="1">
      <alignment horizontal="left" vertical="center" wrapText="1"/>
    </xf>
    <xf numFmtId="0" fontId="79" fillId="4" borderId="39" xfId="0" applyFont="1" applyFill="1" applyBorder="1" applyAlignment="1">
      <alignment horizontal="left" vertical="center" wrapText="1"/>
    </xf>
    <xf numFmtId="0" fontId="79" fillId="4" borderId="37" xfId="0" applyFont="1" applyFill="1" applyBorder="1" applyAlignment="1">
      <alignment horizontal="left" vertical="center" wrapText="1"/>
    </xf>
    <xf numFmtId="0" fontId="16" fillId="6" borderId="6" xfId="0" applyFont="1" applyFill="1" applyBorder="1" applyAlignment="1">
      <alignment horizontal="center"/>
    </xf>
    <xf numFmtId="0" fontId="16" fillId="6" borderId="15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23" fillId="6" borderId="6" xfId="0" applyFont="1" applyFill="1" applyBorder="1" applyAlignment="1">
      <alignment horizontal="center"/>
    </xf>
    <xf numFmtId="0" fontId="23" fillId="6" borderId="15" xfId="0" applyFont="1" applyFill="1" applyBorder="1" applyAlignment="1">
      <alignment horizontal="center"/>
    </xf>
    <xf numFmtId="0" fontId="23" fillId="6" borderId="4" xfId="0" applyFont="1" applyFill="1" applyBorder="1" applyAlignment="1">
      <alignment horizontal="center"/>
    </xf>
    <xf numFmtId="0" fontId="114" fillId="4" borderId="36" xfId="0" applyFont="1" applyFill="1" applyBorder="1" applyAlignment="1">
      <alignment horizontal="center" vertical="center" wrapText="1"/>
    </xf>
    <xf numFmtId="0" fontId="114" fillId="4" borderId="39" xfId="0" applyFont="1" applyFill="1" applyBorder="1" applyAlignment="1">
      <alignment horizontal="center" vertical="center" wrapText="1"/>
    </xf>
    <xf numFmtId="0" fontId="114" fillId="4" borderId="37" xfId="0" applyFont="1" applyFill="1" applyBorder="1" applyAlignment="1">
      <alignment horizontal="center" vertical="center" wrapText="1"/>
    </xf>
    <xf numFmtId="0" fontId="17" fillId="18" borderId="25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78" fillId="18" borderId="24" xfId="0" applyFont="1" applyFill="1" applyBorder="1" applyAlignment="1">
      <alignment horizontal="center" wrapText="1"/>
    </xf>
    <xf numFmtId="0" fontId="78" fillId="18" borderId="25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vertical="center" wrapText="1"/>
    </xf>
    <xf numFmtId="0" fontId="17" fillId="18" borderId="26" xfId="0" applyFont="1" applyFill="1" applyBorder="1" applyAlignment="1">
      <alignment horizontal="center" vertical="center" wrapText="1"/>
    </xf>
    <xf numFmtId="0" fontId="38" fillId="9" borderId="0" xfId="0" applyFont="1" applyFill="1" applyAlignment="1">
      <alignment horizontal="center" vertical="center" wrapText="1"/>
    </xf>
    <xf numFmtId="0" fontId="96" fillId="24" borderId="24" xfId="0" applyFont="1" applyFill="1" applyBorder="1" applyAlignment="1">
      <alignment horizontal="center" vertical="center"/>
    </xf>
    <xf numFmtId="0" fontId="96" fillId="24" borderId="25" xfId="0" applyFont="1" applyFill="1" applyBorder="1" applyAlignment="1">
      <alignment horizontal="center" vertical="center"/>
    </xf>
    <xf numFmtId="0" fontId="96" fillId="24" borderId="26" xfId="0" applyFont="1" applyFill="1" applyBorder="1" applyAlignment="1">
      <alignment horizontal="center" vertical="center"/>
    </xf>
    <xf numFmtId="0" fontId="116" fillId="4" borderId="32" xfId="0" applyFont="1" applyFill="1" applyBorder="1" applyAlignment="1">
      <alignment horizontal="center" vertical="center" wrapText="1"/>
    </xf>
    <xf numFmtId="0" fontId="116" fillId="4" borderId="38" xfId="0" applyFont="1" applyFill="1" applyBorder="1" applyAlignment="1">
      <alignment horizontal="center" vertical="center" wrapText="1"/>
    </xf>
    <xf numFmtId="0" fontId="116" fillId="4" borderId="33" xfId="0" applyFont="1" applyFill="1" applyBorder="1" applyAlignment="1">
      <alignment horizontal="center" vertical="center" wrapText="1"/>
    </xf>
    <xf numFmtId="0" fontId="116" fillId="4" borderId="34" xfId="0" applyFont="1" applyFill="1" applyBorder="1" applyAlignment="1">
      <alignment horizontal="center" vertical="center" wrapText="1"/>
    </xf>
    <xf numFmtId="0" fontId="116" fillId="4" borderId="0" xfId="0" applyFont="1" applyFill="1" applyAlignment="1">
      <alignment horizontal="center" vertical="center" wrapText="1"/>
    </xf>
    <xf numFmtId="0" fontId="116" fillId="4" borderId="35" xfId="0" applyFont="1" applyFill="1" applyBorder="1" applyAlignment="1">
      <alignment horizontal="center" vertical="center" wrapText="1"/>
    </xf>
    <xf numFmtId="0" fontId="116" fillId="4" borderId="36" xfId="0" applyFont="1" applyFill="1" applyBorder="1" applyAlignment="1">
      <alignment horizontal="center" vertical="center" wrapText="1"/>
    </xf>
    <xf numFmtId="0" fontId="116" fillId="4" borderId="39" xfId="0" applyFont="1" applyFill="1" applyBorder="1" applyAlignment="1">
      <alignment horizontal="center" vertical="center" wrapText="1"/>
    </xf>
    <xf numFmtId="0" fontId="116" fillId="4" borderId="37" xfId="0" applyFont="1" applyFill="1" applyBorder="1" applyAlignment="1">
      <alignment horizontal="center" vertical="center" wrapText="1"/>
    </xf>
    <xf numFmtId="0" fontId="36" fillId="4" borderId="32" xfId="0" applyFont="1" applyFill="1" applyBorder="1" applyAlignment="1">
      <alignment horizontal="center"/>
    </xf>
    <xf numFmtId="0" fontId="36" fillId="4" borderId="38" xfId="0" applyFont="1" applyFill="1" applyBorder="1" applyAlignment="1">
      <alignment horizontal="center"/>
    </xf>
    <xf numFmtId="0" fontId="36" fillId="4" borderId="33" xfId="0" applyFont="1" applyFill="1" applyBorder="1" applyAlignment="1">
      <alignment horizontal="center"/>
    </xf>
    <xf numFmtId="0" fontId="41" fillId="4" borderId="36" xfId="1" applyFont="1" applyFill="1" applyBorder="1" applyAlignment="1">
      <alignment horizontal="center"/>
    </xf>
    <xf numFmtId="0" fontId="41" fillId="4" borderId="39" xfId="1" applyFont="1" applyFill="1" applyBorder="1" applyAlignment="1">
      <alignment horizontal="center"/>
    </xf>
    <xf numFmtId="0" fontId="41" fillId="4" borderId="37" xfId="1" applyFont="1" applyFill="1" applyBorder="1" applyAlignment="1">
      <alignment horizontal="center"/>
    </xf>
    <xf numFmtId="0" fontId="55" fillId="9" borderId="5" xfId="0" applyFont="1" applyFill="1" applyBorder="1" applyAlignment="1">
      <alignment horizontal="center"/>
    </xf>
    <xf numFmtId="0" fontId="17" fillId="9" borderId="5" xfId="0" applyFont="1" applyFill="1" applyBorder="1" applyAlignment="1">
      <alignment horizontal="center"/>
    </xf>
    <xf numFmtId="0" fontId="17" fillId="18" borderId="32" xfId="0" applyFont="1" applyFill="1" applyBorder="1" applyAlignment="1">
      <alignment horizontal="center" vertical="center" wrapText="1"/>
    </xf>
    <xf numFmtId="0" fontId="17" fillId="18" borderId="38" xfId="0" applyFont="1" applyFill="1" applyBorder="1" applyAlignment="1">
      <alignment horizontal="center" vertical="center" wrapText="1"/>
    </xf>
    <xf numFmtId="0" fontId="17" fillId="18" borderId="33" xfId="0" applyFont="1" applyFill="1" applyBorder="1" applyAlignment="1">
      <alignment horizontal="center" vertical="center" wrapText="1"/>
    </xf>
    <xf numFmtId="0" fontId="17" fillId="18" borderId="36" xfId="0" applyFont="1" applyFill="1" applyBorder="1" applyAlignment="1">
      <alignment horizontal="center" vertical="center" wrapText="1"/>
    </xf>
    <xf numFmtId="0" fontId="17" fillId="18" borderId="39" xfId="0" applyFont="1" applyFill="1" applyBorder="1" applyAlignment="1">
      <alignment horizontal="center" vertical="center" wrapText="1"/>
    </xf>
    <xf numFmtId="0" fontId="17" fillId="18" borderId="37" xfId="0" applyFont="1" applyFill="1" applyBorder="1" applyAlignment="1">
      <alignment horizontal="center" vertical="center" wrapText="1"/>
    </xf>
    <xf numFmtId="0" fontId="85" fillId="4" borderId="17" xfId="0" applyFont="1" applyFill="1" applyBorder="1" applyAlignment="1">
      <alignment horizontal="center" vertical="center" wrapText="1"/>
    </xf>
    <xf numFmtId="0" fontId="85" fillId="4" borderId="77" xfId="0" applyFont="1" applyFill="1" applyBorder="1" applyAlignment="1">
      <alignment horizontal="center" vertical="center" wrapText="1"/>
    </xf>
    <xf numFmtId="164" fontId="24" fillId="10" borderId="49" xfId="0" applyNumberFormat="1" applyFont="1" applyFill="1" applyBorder="1" applyAlignment="1">
      <alignment horizontal="left" vertical="center"/>
    </xf>
    <xf numFmtId="164" fontId="24" fillId="10" borderId="25" xfId="0" applyNumberFormat="1" applyFont="1" applyFill="1" applyBorder="1" applyAlignment="1">
      <alignment horizontal="left" vertical="center"/>
    </xf>
    <xf numFmtId="164" fontId="24" fillId="10" borderId="50" xfId="0" applyNumberFormat="1" applyFont="1" applyFill="1" applyBorder="1" applyAlignment="1">
      <alignment horizontal="left" vertical="center"/>
    </xf>
    <xf numFmtId="165" fontId="53" fillId="0" borderId="52" xfId="0" applyNumberFormat="1" applyFont="1" applyBorder="1" applyAlignment="1">
      <alignment horizontal="left" vertical="center" wrapText="1"/>
    </xf>
    <xf numFmtId="165" fontId="53" fillId="0" borderId="53" xfId="0" applyNumberFormat="1" applyFont="1" applyBorder="1" applyAlignment="1">
      <alignment horizontal="left" vertical="center" wrapText="1"/>
    </xf>
    <xf numFmtId="0" fontId="22" fillId="9" borderId="0" xfId="0" applyFont="1" applyFill="1" applyAlignment="1">
      <alignment horizontal="center" vertical="center" wrapText="1"/>
    </xf>
    <xf numFmtId="4" fontId="54" fillId="0" borderId="52" xfId="0" quotePrefix="1" applyNumberFormat="1" applyFont="1" applyBorder="1" applyAlignment="1">
      <alignment horizontal="center" vertical="center" wrapText="1"/>
    </xf>
    <xf numFmtId="4" fontId="54" fillId="0" borderId="68" xfId="0" quotePrefix="1" applyNumberFormat="1" applyFont="1" applyBorder="1" applyAlignment="1">
      <alignment horizontal="center" vertical="center" wrapText="1"/>
    </xf>
    <xf numFmtId="4" fontId="54" fillId="0" borderId="53" xfId="0" quotePrefix="1" applyNumberFormat="1" applyFont="1" applyBorder="1" applyAlignment="1">
      <alignment horizontal="center" vertical="center" wrapText="1"/>
    </xf>
    <xf numFmtId="4" fontId="54" fillId="0" borderId="79" xfId="0" quotePrefix="1" applyNumberFormat="1" applyFont="1" applyBorder="1" applyAlignment="1">
      <alignment horizontal="center" vertical="center" wrapText="1"/>
    </xf>
    <xf numFmtId="4" fontId="54" fillId="0" borderId="0" xfId="0" quotePrefix="1" applyNumberFormat="1" applyFont="1" applyAlignment="1">
      <alignment horizontal="center" vertical="center" wrapText="1"/>
    </xf>
    <xf numFmtId="4" fontId="54" fillId="0" borderId="69" xfId="0" quotePrefix="1" applyNumberFormat="1" applyFont="1" applyBorder="1" applyAlignment="1">
      <alignment horizontal="center" vertical="center" wrapText="1"/>
    </xf>
    <xf numFmtId="4" fontId="54" fillId="0" borderId="70" xfId="0" quotePrefix="1" applyNumberFormat="1" applyFont="1" applyBorder="1" applyAlignment="1">
      <alignment horizontal="center" vertical="center" wrapText="1"/>
    </xf>
    <xf numFmtId="4" fontId="54" fillId="0" borderId="71" xfId="0" quotePrefix="1" applyNumberFormat="1" applyFont="1" applyBorder="1" applyAlignment="1">
      <alignment horizontal="center" vertical="center" wrapText="1"/>
    </xf>
    <xf numFmtId="0" fontId="8" fillId="9" borderId="84" xfId="0" applyFont="1" applyFill="1" applyBorder="1" applyAlignment="1">
      <alignment horizontal="center" vertical="center"/>
    </xf>
    <xf numFmtId="0" fontId="8" fillId="9" borderId="85" xfId="0" applyFont="1" applyFill="1" applyBorder="1" applyAlignment="1">
      <alignment horizontal="center" vertical="center"/>
    </xf>
    <xf numFmtId="4" fontId="48" fillId="0" borderId="31" xfId="0" applyNumberFormat="1" applyFont="1" applyBorder="1" applyAlignment="1">
      <alignment horizontal="center" vertical="center"/>
    </xf>
    <xf numFmtId="4" fontId="48" fillId="0" borderId="30" xfId="0" applyNumberFormat="1" applyFont="1" applyBorder="1" applyAlignment="1">
      <alignment horizontal="center" vertical="center"/>
    </xf>
    <xf numFmtId="164" fontId="42" fillId="9" borderId="32" xfId="0" applyNumberFormat="1" applyFont="1" applyFill="1" applyBorder="1" applyAlignment="1">
      <alignment horizontal="left" vertical="center" wrapText="1"/>
    </xf>
    <xf numFmtId="164" fontId="42" fillId="9" borderId="38" xfId="0" applyNumberFormat="1" applyFont="1" applyFill="1" applyBorder="1" applyAlignment="1">
      <alignment horizontal="left" vertical="center" wrapText="1"/>
    </xf>
    <xf numFmtId="164" fontId="42" fillId="9" borderId="34" xfId="0" applyNumberFormat="1" applyFont="1" applyFill="1" applyBorder="1" applyAlignment="1">
      <alignment horizontal="left" vertical="center" wrapText="1"/>
    </xf>
    <xf numFmtId="164" fontId="42" fillId="9" borderId="0" xfId="0" applyNumberFormat="1" applyFont="1" applyFill="1" applyAlignment="1">
      <alignment horizontal="left" vertical="center" wrapText="1"/>
    </xf>
    <xf numFmtId="164" fontId="42" fillId="9" borderId="36" xfId="0" applyNumberFormat="1" applyFont="1" applyFill="1" applyBorder="1" applyAlignment="1">
      <alignment horizontal="left" vertical="center" wrapText="1"/>
    </xf>
    <xf numFmtId="164" fontId="42" fillId="9" borderId="39" xfId="0" applyNumberFormat="1" applyFont="1" applyFill="1" applyBorder="1" applyAlignment="1">
      <alignment horizontal="left" vertical="center" wrapText="1"/>
    </xf>
    <xf numFmtId="3" fontId="10" fillId="10" borderId="17" xfId="0" applyNumberFormat="1" applyFont="1" applyFill="1" applyBorder="1" applyAlignment="1">
      <alignment horizontal="center" vertical="center"/>
    </xf>
    <xf numFmtId="3" fontId="10" fillId="10" borderId="23" xfId="0" applyNumberFormat="1" applyFont="1" applyFill="1" applyBorder="1" applyAlignment="1">
      <alignment horizontal="center" vertical="center"/>
    </xf>
    <xf numFmtId="3" fontId="10" fillId="10" borderId="20" xfId="0" applyNumberFormat="1" applyFont="1" applyFill="1" applyBorder="1" applyAlignment="1">
      <alignment horizontal="center" vertical="center"/>
    </xf>
    <xf numFmtId="3" fontId="10" fillId="11" borderId="17" xfId="0" applyNumberFormat="1" applyFont="1" applyFill="1" applyBorder="1" applyAlignment="1">
      <alignment horizontal="center" vertical="center" wrapText="1"/>
    </xf>
    <xf numFmtId="3" fontId="10" fillId="11" borderId="20" xfId="0" applyNumberFormat="1" applyFont="1" applyFill="1" applyBorder="1" applyAlignment="1">
      <alignment horizontal="center" vertical="center" wrapText="1"/>
    </xf>
    <xf numFmtId="164" fontId="11" fillId="10" borderId="18" xfId="0" applyNumberFormat="1" applyFont="1" applyFill="1" applyBorder="1" applyAlignment="1">
      <alignment horizontal="center" vertical="center"/>
    </xf>
    <xf numFmtId="164" fontId="11" fillId="10" borderId="12" xfId="0" applyNumberFormat="1" applyFont="1" applyFill="1" applyBorder="1" applyAlignment="1">
      <alignment horizontal="center" vertical="center"/>
    </xf>
    <xf numFmtId="164" fontId="11" fillId="10" borderId="41" xfId="0" applyNumberFormat="1" applyFont="1" applyFill="1" applyBorder="1" applyAlignment="1">
      <alignment horizontal="center" vertical="center"/>
    </xf>
    <xf numFmtId="164" fontId="11" fillId="10" borderId="18" xfId="0" applyNumberFormat="1" applyFont="1" applyFill="1" applyBorder="1" applyAlignment="1">
      <alignment horizontal="left" vertical="center"/>
    </xf>
    <xf numFmtId="164" fontId="11" fillId="10" borderId="12" xfId="0" applyNumberFormat="1" applyFont="1" applyFill="1" applyBorder="1" applyAlignment="1">
      <alignment horizontal="left" vertical="center"/>
    </xf>
    <xf numFmtId="164" fontId="11" fillId="10" borderId="19" xfId="0" applyNumberFormat="1" applyFont="1" applyFill="1" applyBorder="1" applyAlignment="1">
      <alignment horizontal="left" vertical="center"/>
    </xf>
    <xf numFmtId="164" fontId="11" fillId="11" borderId="21" xfId="0" applyNumberFormat="1" applyFont="1" applyFill="1" applyBorder="1" applyAlignment="1">
      <alignment horizontal="left" vertical="center"/>
    </xf>
    <xf numFmtId="164" fontId="11" fillId="11" borderId="45" xfId="0" applyNumberFormat="1" applyFont="1" applyFill="1" applyBorder="1" applyAlignment="1">
      <alignment horizontal="left" vertical="center"/>
    </xf>
    <xf numFmtId="164" fontId="11" fillId="11" borderId="22" xfId="0" applyNumberFormat="1" applyFont="1" applyFill="1" applyBorder="1" applyAlignment="1">
      <alignment horizontal="left" vertical="center"/>
    </xf>
    <xf numFmtId="164" fontId="11" fillId="11" borderId="18" xfId="0" applyNumberFormat="1" applyFont="1" applyFill="1" applyBorder="1" applyAlignment="1">
      <alignment horizontal="left" vertical="center"/>
    </xf>
    <xf numFmtId="164" fontId="11" fillId="11" borderId="12" xfId="0" applyNumberFormat="1" applyFont="1" applyFill="1" applyBorder="1" applyAlignment="1">
      <alignment horizontal="left" vertical="center"/>
    </xf>
    <xf numFmtId="164" fontId="11" fillId="11" borderId="19" xfId="0" applyNumberFormat="1" applyFont="1" applyFill="1" applyBorder="1" applyAlignment="1">
      <alignment horizontal="left" vertical="center"/>
    </xf>
    <xf numFmtId="164" fontId="11" fillId="10" borderId="6" xfId="0" applyNumberFormat="1" applyFont="1" applyFill="1" applyBorder="1" applyAlignment="1">
      <alignment horizontal="left" vertical="center"/>
    </xf>
    <xf numFmtId="164" fontId="11" fillId="10" borderId="15" xfId="0" applyNumberFormat="1" applyFont="1" applyFill="1" applyBorder="1" applyAlignment="1">
      <alignment horizontal="left" vertical="center"/>
    </xf>
    <xf numFmtId="164" fontId="11" fillId="10" borderId="4" xfId="0" applyNumberFormat="1" applyFont="1" applyFill="1" applyBorder="1" applyAlignment="1">
      <alignment horizontal="left" vertical="center"/>
    </xf>
    <xf numFmtId="164" fontId="11" fillId="10" borderId="21" xfId="0" applyNumberFormat="1" applyFont="1" applyFill="1" applyBorder="1" applyAlignment="1">
      <alignment horizontal="left" vertical="center"/>
    </xf>
    <xf numFmtId="164" fontId="11" fillId="10" borderId="45" xfId="0" applyNumberFormat="1" applyFont="1" applyFill="1" applyBorder="1" applyAlignment="1">
      <alignment horizontal="left" vertical="center"/>
    </xf>
    <xf numFmtId="164" fontId="11" fillId="10" borderId="22" xfId="0" applyNumberFormat="1" applyFont="1" applyFill="1" applyBorder="1" applyAlignment="1">
      <alignment horizontal="left" vertical="center"/>
    </xf>
    <xf numFmtId="164" fontId="11" fillId="10" borderId="49" xfId="0" applyNumberFormat="1" applyFont="1" applyFill="1" applyBorder="1" applyAlignment="1">
      <alignment horizontal="left" vertical="center"/>
    </xf>
    <xf numFmtId="164" fontId="11" fillId="10" borderId="25" xfId="0" applyNumberFormat="1" applyFont="1" applyFill="1" applyBorder="1" applyAlignment="1">
      <alignment horizontal="left" vertical="center"/>
    </xf>
    <xf numFmtId="164" fontId="11" fillId="10" borderId="50" xfId="0" applyNumberFormat="1" applyFont="1" applyFill="1" applyBorder="1" applyAlignment="1">
      <alignment horizontal="left" vertical="center"/>
    </xf>
    <xf numFmtId="2" fontId="44" fillId="17" borderId="32" xfId="0" applyNumberFormat="1" applyFont="1" applyFill="1" applyBorder="1" applyAlignment="1">
      <alignment horizontal="center"/>
    </xf>
    <xf numFmtId="2" fontId="44" fillId="17" borderId="33" xfId="0" applyNumberFormat="1" applyFont="1" applyFill="1" applyBorder="1" applyAlignment="1">
      <alignment horizontal="center"/>
    </xf>
    <xf numFmtId="2" fontId="44" fillId="17" borderId="34" xfId="0" applyNumberFormat="1" applyFont="1" applyFill="1" applyBorder="1" applyAlignment="1">
      <alignment horizontal="center"/>
    </xf>
    <xf numFmtId="2" fontId="44" fillId="17" borderId="35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44" fillId="13" borderId="32" xfId="0" applyNumberFormat="1" applyFont="1" applyFill="1" applyBorder="1" applyAlignment="1">
      <alignment horizontal="center"/>
    </xf>
    <xf numFmtId="2" fontId="44" fillId="13" borderId="33" xfId="0" applyNumberFormat="1" applyFont="1" applyFill="1" applyBorder="1" applyAlignment="1">
      <alignment horizontal="center"/>
    </xf>
    <xf numFmtId="2" fontId="44" fillId="13" borderId="34" xfId="0" applyNumberFormat="1" applyFont="1" applyFill="1" applyBorder="1" applyAlignment="1">
      <alignment horizontal="center"/>
    </xf>
    <xf numFmtId="2" fontId="44" fillId="13" borderId="35" xfId="0" applyNumberFormat="1" applyFont="1" applyFill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2" fontId="1" fillId="16" borderId="32" xfId="0" applyNumberFormat="1" applyFont="1" applyFill="1" applyBorder="1" applyAlignment="1">
      <alignment horizontal="center"/>
    </xf>
    <xf numFmtId="2" fontId="1" fillId="16" borderId="33" xfId="0" applyNumberFormat="1" applyFont="1" applyFill="1" applyBorder="1" applyAlignment="1">
      <alignment horizontal="center"/>
    </xf>
    <xf numFmtId="2" fontId="1" fillId="16" borderId="34" xfId="0" applyNumberFormat="1" applyFont="1" applyFill="1" applyBorder="1" applyAlignment="1">
      <alignment horizontal="center"/>
    </xf>
    <xf numFmtId="2" fontId="1" fillId="16" borderId="35" xfId="0" applyNumberFormat="1" applyFont="1" applyFill="1" applyBorder="1" applyAlignment="1">
      <alignment horizontal="center"/>
    </xf>
    <xf numFmtId="2" fontId="44" fillId="14" borderId="32" xfId="0" applyNumberFormat="1" applyFont="1" applyFill="1" applyBorder="1" applyAlignment="1">
      <alignment horizontal="center"/>
    </xf>
    <xf numFmtId="2" fontId="44" fillId="14" borderId="33" xfId="0" applyNumberFormat="1" applyFont="1" applyFill="1" applyBorder="1" applyAlignment="1">
      <alignment horizontal="center"/>
    </xf>
    <xf numFmtId="2" fontId="44" fillId="14" borderId="34" xfId="0" applyNumberFormat="1" applyFont="1" applyFill="1" applyBorder="1" applyAlignment="1">
      <alignment horizontal="center"/>
    </xf>
    <xf numFmtId="2" fontId="44" fillId="14" borderId="35" xfId="0" applyNumberFormat="1" applyFont="1" applyFill="1" applyBorder="1" applyAlignment="1">
      <alignment horizontal="center"/>
    </xf>
    <xf numFmtId="2" fontId="44" fillId="14" borderId="5" xfId="0" applyNumberFormat="1" applyFont="1" applyFill="1" applyBorder="1" applyAlignment="1">
      <alignment horizontal="center"/>
    </xf>
    <xf numFmtId="2" fontId="44" fillId="14" borderId="6" xfId="0" applyNumberFormat="1" applyFont="1" applyFill="1" applyBorder="1" applyAlignment="1">
      <alignment horizontal="center"/>
    </xf>
    <xf numFmtId="2" fontId="44" fillId="14" borderId="15" xfId="0" applyNumberFormat="1" applyFont="1" applyFill="1" applyBorder="1" applyAlignment="1">
      <alignment horizontal="center"/>
    </xf>
    <xf numFmtId="2" fontId="44" fillId="14" borderId="4" xfId="0" applyNumberFormat="1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3" fontId="44" fillId="25" borderId="0" xfId="0" applyNumberFormat="1" applyFont="1" applyFill="1" applyAlignment="1">
      <alignment horizontal="center"/>
    </xf>
    <xf numFmtId="2" fontId="44" fillId="8" borderId="63" xfId="0" applyNumberFormat="1" applyFont="1" applyFill="1" applyBorder="1" applyAlignment="1">
      <alignment horizontal="center"/>
    </xf>
    <xf numFmtId="2" fontId="44" fillId="8" borderId="43" xfId="0" applyNumberFormat="1" applyFont="1" applyFill="1" applyBorder="1" applyAlignment="1">
      <alignment horizontal="center"/>
    </xf>
    <xf numFmtId="3" fontId="44" fillId="25" borderId="66" xfId="0" applyNumberFormat="1" applyFont="1" applyFill="1" applyBorder="1" applyAlignment="1">
      <alignment horizontal="center"/>
    </xf>
    <xf numFmtId="2" fontId="44" fillId="14" borderId="63" xfId="0" applyNumberFormat="1" applyFont="1" applyFill="1" applyBorder="1" applyAlignment="1">
      <alignment horizontal="center"/>
    </xf>
    <xf numFmtId="2" fontId="44" fillId="14" borderId="43" xfId="0" applyNumberFormat="1" applyFont="1" applyFill="1" applyBorder="1" applyAlignment="1">
      <alignment horizontal="center"/>
    </xf>
    <xf numFmtId="2" fontId="44" fillId="17" borderId="63" xfId="0" applyNumberFormat="1" applyFont="1" applyFill="1" applyBorder="1" applyAlignment="1">
      <alignment horizontal="center"/>
    </xf>
    <xf numFmtId="2" fontId="44" fillId="17" borderId="43" xfId="0" applyNumberFormat="1" applyFont="1" applyFill="1" applyBorder="1" applyAlignment="1">
      <alignment horizontal="center"/>
    </xf>
    <xf numFmtId="2" fontId="44" fillId="13" borderId="38" xfId="0" applyNumberFormat="1" applyFont="1" applyFill="1" applyBorder="1" applyAlignment="1">
      <alignment horizontal="center"/>
    </xf>
    <xf numFmtId="2" fontId="44" fillId="15" borderId="38" xfId="0" applyNumberFormat="1" applyFont="1" applyFill="1" applyBorder="1" applyAlignment="1">
      <alignment horizontal="center"/>
    </xf>
    <xf numFmtId="2" fontId="1" fillId="16" borderId="38" xfId="0" applyNumberFormat="1" applyFont="1" applyFill="1" applyBorder="1" applyAlignment="1">
      <alignment horizontal="center"/>
    </xf>
    <xf numFmtId="2" fontId="44" fillId="13" borderId="63" xfId="0" applyNumberFormat="1" applyFont="1" applyFill="1" applyBorder="1" applyAlignment="1">
      <alignment horizontal="center"/>
    </xf>
    <xf numFmtId="2" fontId="44" fillId="13" borderId="43" xfId="0" applyNumberFormat="1" applyFont="1" applyFill="1" applyBorder="1" applyAlignment="1">
      <alignment horizontal="center"/>
    </xf>
    <xf numFmtId="2" fontId="44" fillId="15" borderId="63" xfId="0" applyNumberFormat="1" applyFont="1" applyFill="1" applyBorder="1" applyAlignment="1">
      <alignment horizontal="center"/>
    </xf>
    <xf numFmtId="2" fontId="44" fillId="15" borderId="4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5" borderId="65" xfId="0" applyFont="1" applyFill="1" applyBorder="1" applyAlignment="1">
      <alignment horizontal="center"/>
    </xf>
    <xf numFmtId="0" fontId="1" fillId="15" borderId="43" xfId="0" applyFont="1" applyFill="1" applyBorder="1" applyAlignment="1">
      <alignment horizontal="center"/>
    </xf>
    <xf numFmtId="0" fontId="1" fillId="15" borderId="67" xfId="0" applyFont="1" applyFill="1" applyBorder="1" applyAlignment="1">
      <alignment horizontal="center"/>
    </xf>
    <xf numFmtId="0" fontId="1" fillId="21" borderId="65" xfId="0" applyFont="1" applyFill="1" applyBorder="1" applyAlignment="1">
      <alignment horizontal="center"/>
    </xf>
    <xf numFmtId="0" fontId="1" fillId="21" borderId="43" xfId="0" applyFont="1" applyFill="1" applyBorder="1" applyAlignment="1">
      <alignment horizontal="center"/>
    </xf>
    <xf numFmtId="0" fontId="1" fillId="21" borderId="67" xfId="0" applyFont="1" applyFill="1" applyBorder="1" applyAlignment="1">
      <alignment horizontal="center"/>
    </xf>
    <xf numFmtId="0" fontId="2" fillId="0" borderId="47" xfId="0" applyFont="1" applyBorder="1" applyAlignment="1">
      <alignment horizontal="center"/>
    </xf>
    <xf numFmtId="2" fontId="2" fillId="0" borderId="39" xfId="0" applyNumberFormat="1" applyFont="1" applyBorder="1" applyAlignment="1">
      <alignment horizontal="center"/>
    </xf>
    <xf numFmtId="2" fontId="44" fillId="15" borderId="0" xfId="0" applyNumberFormat="1" applyFont="1" applyFill="1" applyAlignment="1">
      <alignment horizontal="center"/>
    </xf>
    <xf numFmtId="2" fontId="1" fillId="16" borderId="0" xfId="0" applyNumberFormat="1" applyFont="1" applyFill="1" applyAlignment="1">
      <alignment horizontal="center"/>
    </xf>
    <xf numFmtId="2" fontId="44" fillId="13" borderId="0" xfId="0" applyNumberFormat="1" applyFont="1" applyFill="1" applyAlignment="1">
      <alignment horizontal="center"/>
    </xf>
    <xf numFmtId="0" fontId="126" fillId="4" borderId="34" xfId="0" applyFont="1" applyFill="1" applyBorder="1" applyAlignment="1">
      <alignment horizontal="center" vertical="center" wrapText="1"/>
    </xf>
    <xf numFmtId="0" fontId="126" fillId="4" borderId="0" xfId="0" applyFont="1" applyFill="1" applyAlignment="1">
      <alignment horizontal="center" vertical="center" wrapText="1"/>
    </xf>
    <xf numFmtId="0" fontId="126" fillId="4" borderId="35" xfId="0" applyFont="1" applyFill="1" applyBorder="1" applyAlignment="1">
      <alignment horizontal="center" vertical="center" wrapText="1"/>
    </xf>
  </cellXfs>
  <cellStyles count="3">
    <cellStyle name="Link" xfId="1" builtinId="8"/>
    <cellStyle name="Link 2" xfId="2" xr:uid="{74BD8A63-B1A2-4687-BA35-801B9961812C}"/>
    <cellStyle name="Standard" xfId="0" builtinId="0"/>
  </cellStyles>
  <dxfs count="1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8" tint="0.79998168889431442"/>
        </patternFill>
      </fill>
    </dxf>
    <dxf>
      <font>
        <color rgb="FF00B050"/>
      </font>
    </dxf>
    <dxf>
      <font>
        <b/>
        <i val="0"/>
      </font>
      <fill>
        <patternFill patternType="solid">
          <bgColor theme="8" tint="0.79998168889431442"/>
        </patternFill>
      </fill>
    </dxf>
    <dxf>
      <font>
        <b/>
        <i/>
        <strike val="0"/>
      </font>
      <fill>
        <patternFill patternType="solid"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</dxf>
    <dxf>
      <font>
        <b/>
      </font>
      <numFmt numFmtId="3" formatCode="#,##0"/>
    </dxf>
    <dxf>
      <font>
        <b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</font>
      <numFmt numFmtId="3" formatCode="#,##0"/>
    </dxf>
    <dxf>
      <font>
        <b/>
      </font>
      <numFmt numFmtId="3" formatCode="#,##0"/>
    </dxf>
    <dxf>
      <font>
        <b/>
      </font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0"/>
        <name val="Book Antiqua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19" formatCode="dd/mm/yyyy"/>
      <alignment horizontal="center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19" formatCode="dd/mm/yyyy"/>
      <alignment horizontal="center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4" formatCode="#,##0.0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4" formatCode="#,##0.0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fill>
        <patternFill patternType="solid">
          <fgColor rgb="FF000000"/>
          <bgColor rgb="FFDBDBDB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D23ED"/>
      <color rgb="FFC4BF00"/>
      <color rgb="FFD7D200"/>
      <color rgb="FFCC3399"/>
      <color rgb="FF89E3B8"/>
      <color rgb="FFFFD071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de-DE">
                <a:solidFill>
                  <a:sysClr val="windowText" lastClr="000000"/>
                </a:solidFill>
              </a:rPr>
              <a:t>Aktueller Stand</a:t>
            </a:r>
          </a:p>
          <a:p>
            <a:pPr>
              <a:defRPr/>
            </a:pPr>
            <a:r>
              <a:rPr lang="de-DE">
                <a:solidFill>
                  <a:sysClr val="windowText" lastClr="000000"/>
                </a:solidFill>
              </a:rPr>
              <a:t>und Prognose €</a:t>
            </a:r>
          </a:p>
        </c:rich>
      </c:tx>
      <c:layout>
        <c:manualLayout>
          <c:xMode val="edge"/>
          <c:yMode val="edge"/>
          <c:x val="4.0281046571650728E-2"/>
          <c:y val="1.32587176990971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0805536594160087E-2"/>
          <c:y val="9.6691656057962816E-2"/>
          <c:w val="0.91496690109820167"/>
          <c:h val="0.84057786599713435"/>
        </c:manualLayout>
      </c:layout>
      <c:lineChart>
        <c:grouping val="standard"/>
        <c:varyColors val="0"/>
        <c:ser>
          <c:idx val="5"/>
          <c:order val="1"/>
          <c:tx>
            <c:v>€ Werkzeuge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'Übersicht &amp; Anleitung'!$X$56:$X$77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80A0-4E24-84D9-F27E1528FAC6}"/>
            </c:ext>
          </c:extLst>
        </c:ser>
        <c:ser>
          <c:idx val="1"/>
          <c:order val="2"/>
          <c:tx>
            <c:v>€ Sonnenküste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'Übersicht &amp; Anleitung'!$O$56:$O$77</c:f>
              <c:numCache>
                <c:formatCode>#,##0\ "€"</c:formatCode>
                <c:ptCount val="22"/>
                <c:pt idx="0">
                  <c:v>0</c:v>
                </c:pt>
                <c:pt idx="1">
                  <c:v>89735</c:v>
                </c:pt>
                <c:pt idx="2">
                  <c:v>114003</c:v>
                </c:pt>
                <c:pt idx="3">
                  <c:v>122519</c:v>
                </c:pt>
                <c:pt idx="4">
                  <c:v>127604</c:v>
                </c:pt>
                <c:pt idx="5">
                  <c:v>131274</c:v>
                </c:pt>
                <c:pt idx="6">
                  <c:v>135593</c:v>
                </c:pt>
                <c:pt idx="7">
                  <c:v>147297</c:v>
                </c:pt>
                <c:pt idx="8">
                  <c:v>154154</c:v>
                </c:pt>
                <c:pt idx="9">
                  <c:v>158642</c:v>
                </c:pt>
                <c:pt idx="10">
                  <c:v>163194</c:v>
                </c:pt>
                <c:pt idx="11">
                  <c:v>166405</c:v>
                </c:pt>
                <c:pt idx="12">
                  <c:v>169780</c:v>
                </c:pt>
                <c:pt idx="13">
                  <c:v>172436</c:v>
                </c:pt>
                <c:pt idx="14">
                  <c:v>176629</c:v>
                </c:pt>
                <c:pt idx="15">
                  <c:v>188273</c:v>
                </c:pt>
                <c:pt idx="16">
                  <c:v>193264</c:v>
                </c:pt>
                <c:pt idx="17">
                  <c:v>198261</c:v>
                </c:pt>
                <c:pt idx="18">
                  <c:v>203119</c:v>
                </c:pt>
                <c:pt idx="19">
                  <c:v>212186</c:v>
                </c:pt>
                <c:pt idx="20">
                  <c:v>220897</c:v>
                </c:pt>
                <c:pt idx="21">
                  <c:v>239077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2-8772-4CB5-9B41-96C9281176D7}"/>
            </c:ext>
          </c:extLst>
        </c:ser>
        <c:ser>
          <c:idx val="6"/>
          <c:order val="3"/>
          <c:tx>
            <c:v>€ Rohals Erben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'Übersicht &amp; Anleitung'!$S$56:$S$77</c:f>
              <c:numCache>
                <c:formatCode>#,##0\ "€"</c:formatCode>
                <c:ptCount val="22"/>
                <c:pt idx="0">
                  <c:v>0</c:v>
                </c:pt>
                <c:pt idx="1">
                  <c:v>82966</c:v>
                </c:pt>
                <c:pt idx="2">
                  <c:v>96328</c:v>
                </c:pt>
                <c:pt idx="3">
                  <c:v>115147</c:v>
                </c:pt>
                <c:pt idx="4">
                  <c:v>123834</c:v>
                </c:pt>
                <c:pt idx="5">
                  <c:v>132002</c:v>
                </c:pt>
                <c:pt idx="6">
                  <c:v>150957</c:v>
                </c:pt>
                <c:pt idx="7">
                  <c:v>164491</c:v>
                </c:pt>
                <c:pt idx="8">
                  <c:v>182858</c:v>
                </c:pt>
                <c:pt idx="9">
                  <c:v>195000</c:v>
                </c:pt>
                <c:pt idx="10">
                  <c:v>203877</c:v>
                </c:pt>
                <c:pt idx="11">
                  <c:v>212794</c:v>
                </c:pt>
                <c:pt idx="12">
                  <c:v>221864</c:v>
                </c:pt>
                <c:pt idx="13">
                  <c:v>229701</c:v>
                </c:pt>
                <c:pt idx="14">
                  <c:v>240791</c:v>
                </c:pt>
                <c:pt idx="15">
                  <c:v>249000</c:v>
                </c:pt>
                <c:pt idx="16">
                  <c:v>257666</c:v>
                </c:pt>
                <c:pt idx="17">
                  <c:v>268894</c:v>
                </c:pt>
                <c:pt idx="18">
                  <c:v>280832</c:v>
                </c:pt>
                <c:pt idx="19">
                  <c:v>299641</c:v>
                </c:pt>
                <c:pt idx="20">
                  <c:v>330836</c:v>
                </c:pt>
                <c:pt idx="21">
                  <c:v>390507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3-8772-4CB5-9B41-96C9281176D7}"/>
            </c:ext>
          </c:extLst>
        </c:ser>
        <c:ser>
          <c:idx val="10"/>
          <c:order val="5"/>
          <c:tx>
            <c:v>€ Winterwacht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'Übersicht &amp; Anleitung'!$P$56:$P$77</c:f>
              <c:numCache>
                <c:formatCode>#,##0\ "€"</c:formatCode>
                <c:ptCount val="22"/>
                <c:pt idx="0">
                  <c:v>0</c:v>
                </c:pt>
                <c:pt idx="1">
                  <c:v>97183</c:v>
                </c:pt>
                <c:pt idx="2">
                  <c:v>121393</c:v>
                </c:pt>
                <c:pt idx="3">
                  <c:v>143837</c:v>
                </c:pt>
                <c:pt idx="4">
                  <c:v>156839</c:v>
                </c:pt>
                <c:pt idx="5">
                  <c:v>166947</c:v>
                </c:pt>
                <c:pt idx="6">
                  <c:v>175946</c:v>
                </c:pt>
                <c:pt idx="7">
                  <c:v>184883</c:v>
                </c:pt>
                <c:pt idx="8">
                  <c:v>193287</c:v>
                </c:pt>
                <c:pt idx="9">
                  <c:v>202015</c:v>
                </c:pt>
                <c:pt idx="10">
                  <c:v>209016</c:v>
                </c:pt>
                <c:pt idx="11">
                  <c:v>214911</c:v>
                </c:pt>
                <c:pt idx="12">
                  <c:v>220698</c:v>
                </c:pt>
                <c:pt idx="13">
                  <c:v>224732</c:v>
                </c:pt>
                <c:pt idx="14">
                  <c:v>232641</c:v>
                </c:pt>
                <c:pt idx="15">
                  <c:v>242719</c:v>
                </c:pt>
                <c:pt idx="16">
                  <c:v>251181</c:v>
                </c:pt>
                <c:pt idx="17">
                  <c:v>258252</c:v>
                </c:pt>
                <c:pt idx="18">
                  <c:v>267342</c:v>
                </c:pt>
                <c:pt idx="19">
                  <c:v>279921</c:v>
                </c:pt>
                <c:pt idx="20">
                  <c:v>295660</c:v>
                </c:pt>
                <c:pt idx="21">
                  <c:v>324435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5-8772-4CB5-9B41-96C9281176D7}"/>
            </c:ext>
          </c:extLst>
        </c:ser>
        <c:ser>
          <c:idx val="9"/>
          <c:order val="6"/>
          <c:tx>
            <c:v>€ Gunst der Göttin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D23ED"/>
              </a:solidFill>
              <a:ln w="9525">
                <a:solidFill>
                  <a:srgbClr val="FD23ED"/>
                </a:solidFill>
              </a:ln>
              <a:effectLst/>
            </c:spPr>
          </c:marker>
          <c:val>
            <c:numRef>
              <c:f>'Übersicht &amp; Anleitung'!$Y$56:$Y$77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4-8772-4CB5-9B41-96C9281176D7}"/>
            </c:ext>
          </c:extLst>
        </c:ser>
        <c:ser>
          <c:idx val="16"/>
          <c:order val="7"/>
          <c:tx>
            <c:v>€ Echsensümpfe</c:v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Anleitung'!$Q$56:$Q$77</c:f>
              <c:numCache>
                <c:formatCode>#,##0\ "€"</c:formatCode>
                <c:ptCount val="22"/>
                <c:pt idx="0">
                  <c:v>0</c:v>
                </c:pt>
                <c:pt idx="1">
                  <c:v>88345</c:v>
                </c:pt>
                <c:pt idx="2">
                  <c:v>113466</c:v>
                </c:pt>
                <c:pt idx="3">
                  <c:v>126235</c:v>
                </c:pt>
                <c:pt idx="4">
                  <c:v>134183</c:v>
                </c:pt>
                <c:pt idx="5">
                  <c:v>141611</c:v>
                </c:pt>
                <c:pt idx="6">
                  <c:v>150726</c:v>
                </c:pt>
                <c:pt idx="7">
                  <c:v>157770</c:v>
                </c:pt>
                <c:pt idx="8">
                  <c:v>165131</c:v>
                </c:pt>
                <c:pt idx="9">
                  <c:v>173440</c:v>
                </c:pt>
                <c:pt idx="10">
                  <c:v>180535</c:v>
                </c:pt>
                <c:pt idx="11">
                  <c:v>184785</c:v>
                </c:pt>
                <c:pt idx="12">
                  <c:v>189297</c:v>
                </c:pt>
                <c:pt idx="13">
                  <c:v>195413</c:v>
                </c:pt>
                <c:pt idx="14">
                  <c:v>204026</c:v>
                </c:pt>
                <c:pt idx="15">
                  <c:v>214753</c:v>
                </c:pt>
                <c:pt idx="16">
                  <c:v>222938</c:v>
                </c:pt>
                <c:pt idx="17">
                  <c:v>228929</c:v>
                </c:pt>
                <c:pt idx="18">
                  <c:v>237425</c:v>
                </c:pt>
                <c:pt idx="19">
                  <c:v>252845</c:v>
                </c:pt>
                <c:pt idx="20">
                  <c:v>273235</c:v>
                </c:pt>
                <c:pt idx="21">
                  <c:v>307649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3CC7-4D1D-A37C-F1D2F85CFD9E}"/>
            </c:ext>
          </c:extLst>
        </c:ser>
        <c:ser>
          <c:idx val="14"/>
          <c:order val="8"/>
          <c:tx>
            <c:v>€ Av. Nedime</c:v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3399"/>
              </a:solidFill>
              <a:ln w="9525">
                <a:solidFill>
                  <a:srgbClr val="CC3399"/>
                </a:solidFill>
              </a:ln>
              <a:effectLst/>
            </c:spPr>
          </c:marker>
          <c:val>
            <c:numRef>
              <c:f>'Übersicht &amp; Anleitung'!$AD$56:$AD$77</c:f>
            </c:numRef>
          </c:val>
          <c:smooth val="0"/>
          <c:extLst>
            <c:ext xmlns:c16="http://schemas.microsoft.com/office/drawing/2014/chart" uri="{C3380CC4-5D6E-409C-BE32-E72D297353CC}">
              <c16:uniqueId val="{00000035-5345-4F43-98B1-37A1277838B4}"/>
            </c:ext>
          </c:extLst>
        </c:ser>
        <c:ser>
          <c:idx val="18"/>
          <c:order val="9"/>
          <c:tx>
            <c:v>€ Wolfsfrost</c:v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val>
            <c:numRef>
              <c:f>'Übersicht &amp; Anleitung'!$R$56:$R$77</c:f>
              <c:numCache>
                <c:formatCode>#,##0\ "€"</c:formatCode>
                <c:ptCount val="22"/>
                <c:pt idx="0">
                  <c:v>0</c:v>
                </c:pt>
                <c:pt idx="1">
                  <c:v>117333.01</c:v>
                </c:pt>
                <c:pt idx="2">
                  <c:v>142540.60999999999</c:v>
                </c:pt>
                <c:pt idx="3">
                  <c:v>158884.32</c:v>
                </c:pt>
                <c:pt idx="4">
                  <c:v>172623.29</c:v>
                </c:pt>
                <c:pt idx="5">
                  <c:v>178763.98</c:v>
                </c:pt>
                <c:pt idx="6">
                  <c:v>184821.71</c:v>
                </c:pt>
                <c:pt idx="7">
                  <c:v>192894.71</c:v>
                </c:pt>
                <c:pt idx="8">
                  <c:v>201017.49</c:v>
                </c:pt>
                <c:pt idx="9">
                  <c:v>206116.1</c:v>
                </c:pt>
                <c:pt idx="10">
                  <c:v>217511.64</c:v>
                </c:pt>
                <c:pt idx="11">
                  <c:v>224693.2</c:v>
                </c:pt>
                <c:pt idx="12">
                  <c:v>232990.67</c:v>
                </c:pt>
                <c:pt idx="13">
                  <c:v>241976.2</c:v>
                </c:pt>
                <c:pt idx="14">
                  <c:v>253405.41</c:v>
                </c:pt>
                <c:pt idx="15">
                  <c:v>264609.71999999997</c:v>
                </c:pt>
                <c:pt idx="16">
                  <c:v>272847.35999999999</c:v>
                </c:pt>
                <c:pt idx="17">
                  <c:v>281181.88</c:v>
                </c:pt>
                <c:pt idx="18">
                  <c:v>290671.17</c:v>
                </c:pt>
                <c:pt idx="19">
                  <c:v>300668.59000000003</c:v>
                </c:pt>
                <c:pt idx="20">
                  <c:v>314352.75</c:v>
                </c:pt>
                <c:pt idx="21">
                  <c:v>342006.6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F87A-46B7-A316-A15D37C07049}"/>
            </c:ext>
          </c:extLst>
        </c:ser>
        <c:ser>
          <c:idx val="15"/>
          <c:order val="10"/>
          <c:tx>
            <c:v>€ Av. Mythen &amp; Legenden</c:v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Anleitung'!$AE$56:$AE$77</c:f>
            </c:numRef>
          </c:val>
          <c:smooth val="0"/>
          <c:extLst>
            <c:ext xmlns:c16="http://schemas.microsoft.com/office/drawing/2014/chart" uri="{C3380CC4-5D6E-409C-BE32-E72D297353CC}">
              <c16:uniqueId val="{00000036-5345-4F43-98B1-37A1277838B4}"/>
            </c:ext>
          </c:extLst>
        </c:ser>
        <c:ser>
          <c:idx val="20"/>
          <c:order val="11"/>
          <c:tx>
            <c:strRef>
              <c:f>'Übersicht &amp; Anleitung'!$T$54:$T$55</c:f>
              <c:strCache>
                <c:ptCount val="2"/>
                <c:pt idx="0">
                  <c:v>€</c:v>
                </c:pt>
                <c:pt idx="1">
                  <c:v>Kirchen Alverans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'Übersicht &amp; Anleitung'!$T$56:$T$77</c:f>
              <c:numCache>
                <c:formatCode>#,##0\ "€"</c:formatCode>
                <c:ptCount val="22"/>
                <c:pt idx="0">
                  <c:v>0</c:v>
                </c:pt>
                <c:pt idx="1">
                  <c:v>128054</c:v>
                </c:pt>
                <c:pt idx="2">
                  <c:v>153928</c:v>
                </c:pt>
                <c:pt idx="3">
                  <c:v>170463</c:v>
                </c:pt>
                <c:pt idx="4">
                  <c:v>183900</c:v>
                </c:pt>
                <c:pt idx="5">
                  <c:v>197894</c:v>
                </c:pt>
                <c:pt idx="6">
                  <c:v>207444</c:v>
                </c:pt>
                <c:pt idx="7">
                  <c:v>215459</c:v>
                </c:pt>
                <c:pt idx="8">
                  <c:v>226250</c:v>
                </c:pt>
                <c:pt idx="9">
                  <c:v>232733</c:v>
                </c:pt>
                <c:pt idx="10">
                  <c:v>237361</c:v>
                </c:pt>
                <c:pt idx="11">
                  <c:v>244951</c:v>
                </c:pt>
                <c:pt idx="12">
                  <c:v>249552</c:v>
                </c:pt>
                <c:pt idx="13">
                  <c:v>254467</c:v>
                </c:pt>
                <c:pt idx="14">
                  <c:v>262458</c:v>
                </c:pt>
                <c:pt idx="15">
                  <c:v>266895</c:v>
                </c:pt>
                <c:pt idx="16">
                  <c:v>277174</c:v>
                </c:pt>
                <c:pt idx="17">
                  <c:v>284702</c:v>
                </c:pt>
                <c:pt idx="18">
                  <c:v>294741</c:v>
                </c:pt>
                <c:pt idx="19">
                  <c:v>300262</c:v>
                </c:pt>
                <c:pt idx="20">
                  <c:v>321230</c:v>
                </c:pt>
                <c:pt idx="21">
                  <c:v>357094.74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BBE1-43D8-8D5A-79C2F0CA7474}"/>
            </c:ext>
          </c:extLst>
        </c:ser>
        <c:ser>
          <c:idx val="19"/>
          <c:order val="12"/>
          <c:tx>
            <c:v>€ Kelche der Macht</c:v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Anleitung'!$AG$56:$AG$77</c:f>
            </c:numRef>
          </c:val>
          <c:smooth val="0"/>
          <c:extLst>
            <c:ext xmlns:c16="http://schemas.microsoft.com/office/drawing/2014/chart" uri="{C3380CC4-5D6E-409C-BE32-E72D297353CC}">
              <c16:uniqueId val="{00000034-6F93-4BF0-90B7-9CAA6A42732B}"/>
            </c:ext>
          </c:extLst>
        </c:ser>
        <c:ser>
          <c:idx val="7"/>
          <c:order val="13"/>
          <c:tx>
            <c:v>€ Best Case</c:v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val>
            <c:numRef>
              <c:f>'Übersicht &amp; Anleitung'!$K$56:$K$77</c:f>
              <c:numCache>
                <c:formatCode>#,##0\ "€"</c:formatCode>
                <c:ptCount val="22"/>
                <c:pt idx="0">
                  <c:v>0</c:v>
                </c:pt>
                <c:pt idx="1">
                  <c:v>136568</c:v>
                </c:pt>
                <c:pt idx="2">
                  <c:v>155624</c:v>
                </c:pt>
                <c:pt idx="3">
                  <c:v>169724</c:v>
                </c:pt>
                <c:pt idx="4">
                  <c:v>179924</c:v>
                </c:pt>
                <c:pt idx="5">
                  <c:v>186522</c:v>
                </c:pt>
                <c:pt idx="6">
                  <c:v>194535</c:v>
                </c:pt>
                <c:pt idx="7">
                  <c:v>199150</c:v>
                </c:pt>
                <c:pt idx="8">
                  <c:v>205474</c:v>
                </c:pt>
                <c:pt idx="9">
                  <c:v>215990</c:v>
                </c:pt>
                <c:pt idx="10">
                  <c:v>223980</c:v>
                </c:pt>
                <c:pt idx="11">
                  <c:v>229146</c:v>
                </c:pt>
                <c:pt idx="12">
                  <c:v>236347</c:v>
                </c:pt>
                <c:pt idx="13">
                  <c:v>240841</c:v>
                </c:pt>
                <c:pt idx="14">
                  <c:v>249899</c:v>
                </c:pt>
                <c:pt idx="15">
                  <c:v>260287</c:v>
                </c:pt>
                <c:pt idx="16">
                  <c:v>266188</c:v>
                </c:pt>
                <c:pt idx="17">
                  <c:v>272160</c:v>
                </c:pt>
                <c:pt idx="18">
                  <c:v>278792</c:v>
                </c:pt>
                <c:pt idx="19">
                  <c:v>285261</c:v>
                </c:pt>
                <c:pt idx="20">
                  <c:v>301845</c:v>
                </c:pt>
                <c:pt idx="21">
                  <c:v>331726.15999999997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8-80A0-4E24-84D9-F27E1528FAC6}"/>
            </c:ext>
          </c:extLst>
        </c:ser>
        <c:ser>
          <c:idx val="11"/>
          <c:order val="14"/>
          <c:tx>
            <c:v>€ DSK Fasar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Anleitung'!$Z$56:$Z$77</c:f>
            </c:numRef>
          </c:val>
          <c:smooth val="0"/>
          <c:extLst>
            <c:ext xmlns:c16="http://schemas.microsoft.com/office/drawing/2014/chart" uri="{C3380CC4-5D6E-409C-BE32-E72D297353CC}">
              <c16:uniqueId val="{00000032-5345-4F43-98B1-37A1277838B4}"/>
            </c:ext>
          </c:extLst>
        </c:ser>
        <c:ser>
          <c:idx val="8"/>
          <c:order val="15"/>
          <c:tx>
            <c:v>€ Worst Case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'Übersicht &amp; Anleitung'!$J$56:$J$77</c:f>
              <c:numCache>
                <c:formatCode>#,##0\ "€"</c:formatCode>
                <c:ptCount val="22"/>
                <c:pt idx="0">
                  <c:v>0</c:v>
                </c:pt>
                <c:pt idx="1">
                  <c:v>136568</c:v>
                </c:pt>
                <c:pt idx="2">
                  <c:v>155624</c:v>
                </c:pt>
                <c:pt idx="3">
                  <c:v>169724</c:v>
                </c:pt>
                <c:pt idx="4">
                  <c:v>179924</c:v>
                </c:pt>
                <c:pt idx="5">
                  <c:v>186522</c:v>
                </c:pt>
                <c:pt idx="6">
                  <c:v>194535</c:v>
                </c:pt>
                <c:pt idx="7">
                  <c:v>199150</c:v>
                </c:pt>
                <c:pt idx="8">
                  <c:v>205474</c:v>
                </c:pt>
                <c:pt idx="9">
                  <c:v>215990</c:v>
                </c:pt>
                <c:pt idx="10">
                  <c:v>223980</c:v>
                </c:pt>
                <c:pt idx="11">
                  <c:v>229146</c:v>
                </c:pt>
                <c:pt idx="12">
                  <c:v>236347</c:v>
                </c:pt>
                <c:pt idx="13">
                  <c:v>240841</c:v>
                </c:pt>
                <c:pt idx="14">
                  <c:v>249899</c:v>
                </c:pt>
                <c:pt idx="15">
                  <c:v>260287</c:v>
                </c:pt>
                <c:pt idx="16">
                  <c:v>266188</c:v>
                </c:pt>
                <c:pt idx="17">
                  <c:v>272160</c:v>
                </c:pt>
                <c:pt idx="18">
                  <c:v>278792</c:v>
                </c:pt>
                <c:pt idx="19">
                  <c:v>285261</c:v>
                </c:pt>
                <c:pt idx="20">
                  <c:v>301845</c:v>
                </c:pt>
                <c:pt idx="21">
                  <c:v>331726.15999999997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9-80A0-4E24-84D9-F27E1528FAC6}"/>
            </c:ext>
          </c:extLst>
        </c:ser>
        <c:ser>
          <c:idx val="2"/>
          <c:order val="16"/>
          <c:tx>
            <c:v>€ Erste Schätzung max.</c:v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numRef>
              <c:f>'Übersicht &amp; Anleitung'!$G$56:$G$77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  <c:extLst xmlns:c15="http://schemas.microsoft.com/office/drawing/2012/chart"/>
            </c:numRef>
          </c:cat>
          <c:val>
            <c:numRef>
              <c:f>'Übersicht &amp; Anleitung'!$M$56:$M$77</c:f>
              <c:numCache>
                <c:formatCode>#,##0\ "€"</c:formatCode>
                <c:ptCount val="22"/>
                <c:pt idx="0">
                  <c:v>0</c:v>
                </c:pt>
                <c:pt idx="1">
                  <c:v>136568</c:v>
                </c:pt>
                <c:pt idx="2">
                  <c:v>155624</c:v>
                </c:pt>
                <c:pt idx="3">
                  <c:v>169724</c:v>
                </c:pt>
                <c:pt idx="4">
                  <c:v>179924</c:v>
                </c:pt>
                <c:pt idx="5">
                  <c:v>186522</c:v>
                </c:pt>
                <c:pt idx="6">
                  <c:v>202851.47050227597</c:v>
                </c:pt>
                <c:pt idx="7">
                  <c:v>247102.48294928641</c:v>
                </c:pt>
                <c:pt idx="8">
                  <c:v>273027.73861821584</c:v>
                </c:pt>
                <c:pt idx="9">
                  <c:v>289996.17196255823</c:v>
                </c:pt>
                <c:pt idx="10">
                  <c:v>307206.57940093748</c:v>
                </c:pt>
                <c:pt idx="11">
                  <c:v>319346.87340019847</c:v>
                </c:pt>
                <c:pt idx="12">
                  <c:v>332107.22601542919</c:v>
                </c:pt>
                <c:pt idx="13">
                  <c:v>342149.15091796336</c:v>
                </c:pt>
                <c:pt idx="14">
                  <c:v>358002.23492260405</c:v>
                </c:pt>
                <c:pt idx="15">
                  <c:v>402026.39665645477</c:v>
                </c:pt>
                <c:pt idx="16">
                  <c:v>420896.5951461189</c:v>
                </c:pt>
                <c:pt idx="17">
                  <c:v>439789.47870709898</c:v>
                </c:pt>
                <c:pt idx="18">
                  <c:v>458156.82478259254</c:v>
                </c:pt>
                <c:pt idx="19">
                  <c:v>492437.74838623608</c:v>
                </c:pt>
                <c:pt idx="20">
                  <c:v>525372.69109179883</c:v>
                </c:pt>
                <c:pt idx="21">
                  <c:v>594108.45717917487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80A0-4E24-84D9-F27E1528FAC6}"/>
            </c:ext>
          </c:extLst>
        </c:ser>
        <c:ser>
          <c:idx val="12"/>
          <c:order val="17"/>
          <c:tx>
            <c:v>€ DSK Schleichender Verfall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val>
            <c:numRef>
              <c:f>'Übersicht &amp; Anleitung'!$AA$56:$AA$77</c:f>
            </c:numRef>
          </c:val>
          <c:smooth val="0"/>
          <c:extLst>
            <c:ext xmlns:c16="http://schemas.microsoft.com/office/drawing/2014/chart" uri="{C3380CC4-5D6E-409C-BE32-E72D297353CC}">
              <c16:uniqueId val="{00000033-5345-4F43-98B1-37A1277838B4}"/>
            </c:ext>
          </c:extLst>
        </c:ser>
        <c:ser>
          <c:idx val="13"/>
          <c:order val="18"/>
          <c:tx>
            <c:v>€ DSK Refurbished</c:v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Anleitung'!$AB$56:$AB$77</c:f>
            </c:numRef>
          </c:val>
          <c:smooth val="0"/>
          <c:extLst>
            <c:ext xmlns:c16="http://schemas.microsoft.com/office/drawing/2014/chart" uri="{C3380CC4-5D6E-409C-BE32-E72D297353CC}">
              <c16:uniqueId val="{00000034-5345-4F43-98B1-37A1277838B4}"/>
            </c:ext>
          </c:extLst>
        </c:ser>
        <c:ser>
          <c:idx val="3"/>
          <c:order val="19"/>
          <c:tx>
            <c:v>€ Erste Schätzung min.</c:v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'Übersicht &amp; Anleitung'!$G$56:$G$77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  <c:extLst xmlns:c15="http://schemas.microsoft.com/office/drawing/2012/chart"/>
            </c:numRef>
          </c:cat>
          <c:val>
            <c:numRef>
              <c:f>'Übersicht &amp; Anleitung'!$L$56:$L$77</c:f>
              <c:numCache>
                <c:formatCode>#,##0\ "€"</c:formatCode>
                <c:ptCount val="22"/>
                <c:pt idx="0">
                  <c:v>0</c:v>
                </c:pt>
                <c:pt idx="1">
                  <c:v>136568</c:v>
                </c:pt>
                <c:pt idx="2">
                  <c:v>155624</c:v>
                </c:pt>
                <c:pt idx="3">
                  <c:v>169724</c:v>
                </c:pt>
                <c:pt idx="4">
                  <c:v>179924</c:v>
                </c:pt>
                <c:pt idx="5">
                  <c:v>186522</c:v>
                </c:pt>
                <c:pt idx="6">
                  <c:v>195188.22577170448</c:v>
                </c:pt>
                <c:pt idx="7">
                  <c:v>198663.22628572673</c:v>
                </c:pt>
                <c:pt idx="8">
                  <c:v>205365.01299134109</c:v>
                </c:pt>
                <c:pt idx="9">
                  <c:v>207563.48270429394</c:v>
                </c:pt>
                <c:pt idx="10">
                  <c:v>211449.80980977189</c:v>
                </c:pt>
                <c:pt idx="11">
                  <c:v>218626.74964689542</c:v>
                </c:pt>
                <c:pt idx="12">
                  <c:v>226087.36299536773</c:v>
                </c:pt>
                <c:pt idx="13">
                  <c:v>227612.10811886727</c:v>
                </c:pt>
                <c:pt idx="14">
                  <c:v>231987.77203142186</c:v>
                </c:pt>
                <c:pt idx="15">
                  <c:v>239767.51808016148</c:v>
                </c:pt>
                <c:pt idx="16">
                  <c:v>246717.519108206</c:v>
                </c:pt>
                <c:pt idx="17">
                  <c:v>249852.11140860975</c:v>
                </c:pt>
                <c:pt idx="18">
                  <c:v>259199.15360755127</c:v>
                </c:pt>
                <c:pt idx="19">
                  <c:v>269446.85920502507</c:v>
                </c:pt>
                <c:pt idx="20">
                  <c:v>293771.86280318088</c:v>
                </c:pt>
                <c:pt idx="21">
                  <c:v>337102.99166170333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0A0-4E24-84D9-F27E1528FAC6}"/>
            </c:ext>
          </c:extLst>
        </c:ser>
        <c:ser>
          <c:idx val="0"/>
          <c:order val="20"/>
          <c:tx>
            <c:v>€ Aktuelle Prognose</c:v>
          </c:tx>
          <c:spPr>
            <a:ln w="28575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A0-4E24-84D9-F27E1528FAC6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A0-4E24-84D9-F27E1528FAC6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A0-4E24-84D9-F27E1528FAC6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0A0-4E24-84D9-F27E1528FAC6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0A0-4E24-84D9-F27E1528FAC6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0A0-4E24-84D9-F27E1528FAC6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0A0-4E24-84D9-F27E1528FAC6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80A0-4E24-84D9-F27E1528FAC6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80A0-4E24-84D9-F27E1528FAC6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80A0-4E24-84D9-F27E1528FAC6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80A0-4E24-84D9-F27E1528FAC6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80A0-4E24-84D9-F27E1528FAC6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80A0-4E24-84D9-F27E1528FAC6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80A0-4E24-84D9-F27E1528FAC6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80A0-4E24-84D9-F27E1528FAC6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80A0-4E24-84D9-F27E1528FAC6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80A0-4E24-84D9-F27E1528FAC6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80A0-4E24-84D9-F27E1528FAC6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80A0-4E24-84D9-F27E1528FAC6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80A0-4E24-84D9-F27E1528FAC6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80A0-4E24-84D9-F27E1528FAC6}"/>
              </c:ext>
            </c:extLst>
          </c:dPt>
          <c:dPt>
            <c:idx val="22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80A0-4E24-84D9-F27E1528FAC6}"/>
              </c:ext>
            </c:extLst>
          </c:dPt>
          <c:dPt>
            <c:idx val="23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80A0-4E24-84D9-F27E1528FAC6}"/>
              </c:ext>
            </c:extLst>
          </c:dPt>
          <c:dPt>
            <c:idx val="24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80A0-4E24-84D9-F27E1528FAC6}"/>
              </c:ext>
            </c:extLst>
          </c:dPt>
          <c:dPt>
            <c:idx val="25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80A0-4E24-84D9-F27E1528FAC6}"/>
              </c:ext>
            </c:extLst>
          </c:dPt>
          <c:cat>
            <c:numRef>
              <c:f>'Übersicht &amp; Anleitung'!$G$56:$G$77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'Übersicht &amp; Anleitung'!$I$56:$I$77</c:f>
              <c:numCache>
                <c:formatCode>#,##0\ "€"</c:formatCode>
                <c:ptCount val="22"/>
                <c:pt idx="0">
                  <c:v>0</c:v>
                </c:pt>
                <c:pt idx="1">
                  <c:v>136568</c:v>
                </c:pt>
                <c:pt idx="2">
                  <c:v>155624</c:v>
                </c:pt>
                <c:pt idx="3">
                  <c:v>169724</c:v>
                </c:pt>
                <c:pt idx="4">
                  <c:v>179924</c:v>
                </c:pt>
                <c:pt idx="5">
                  <c:v>186522</c:v>
                </c:pt>
                <c:pt idx="6">
                  <c:v>194535</c:v>
                </c:pt>
                <c:pt idx="7">
                  <c:v>199150</c:v>
                </c:pt>
                <c:pt idx="8">
                  <c:v>205474</c:v>
                </c:pt>
                <c:pt idx="9">
                  <c:v>215990</c:v>
                </c:pt>
                <c:pt idx="10">
                  <c:v>223980</c:v>
                </c:pt>
                <c:pt idx="11">
                  <c:v>229146</c:v>
                </c:pt>
                <c:pt idx="12">
                  <c:v>236347</c:v>
                </c:pt>
                <c:pt idx="13">
                  <c:v>240841</c:v>
                </c:pt>
                <c:pt idx="14">
                  <c:v>249899</c:v>
                </c:pt>
                <c:pt idx="15">
                  <c:v>260287</c:v>
                </c:pt>
                <c:pt idx="16">
                  <c:v>266188</c:v>
                </c:pt>
                <c:pt idx="17">
                  <c:v>272160</c:v>
                </c:pt>
                <c:pt idx="18">
                  <c:v>278792</c:v>
                </c:pt>
                <c:pt idx="19">
                  <c:v>285261</c:v>
                </c:pt>
                <c:pt idx="20">
                  <c:v>301845</c:v>
                </c:pt>
                <c:pt idx="21">
                  <c:v>331726.15999999997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80A0-4E24-84D9-F27E1528F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141632"/>
        <c:axId val="5141390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v>€ Thorwal</c:v>
                </c:tx>
                <c:spPr>
                  <a:ln w="28575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7030A0"/>
                    </a:solidFill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7030A0"/>
                      </a:solidFill>
                      <a:ln w="9525">
                        <a:solidFill>
                          <a:srgbClr val="7030A0"/>
                        </a:solidFill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2-8B0A-46AB-B0D1-A4874A6746F8}"/>
                    </c:ext>
                  </c:extLst>
                </c:dPt>
                <c:val>
                  <c:numRef>
                    <c:extLst>
                      <c:ext uri="{02D57815-91ED-43cb-92C2-25804820EDAC}">
                        <c15:formulaRef>
                          <c15:sqref>'Übersicht &amp; Anleitung'!$N$56:$N$77</c15:sqref>
                        </c15:formulaRef>
                      </c:ext>
                    </c:extLst>
                    <c:numCache>
                      <c:formatCode>#,##0\ "€"</c:formatCode>
                      <c:ptCount val="22"/>
                      <c:pt idx="0">
                        <c:v>0</c:v>
                      </c:pt>
                      <c:pt idx="2">
                        <c:v>65000</c:v>
                      </c:pt>
                      <c:pt idx="12">
                        <c:v>125000</c:v>
                      </c:pt>
                      <c:pt idx="21">
                        <c:v>266116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0A0-4E24-84D9-F27E1528FAC6}"/>
                  </c:ext>
                </c:extLst>
              </c15:ser>
            </c15:filteredLineSeries>
            <c15:filteredLineSeries>
              <c15:ser>
                <c:idx val="17"/>
                <c:order val="4"/>
                <c:tx>
                  <c:v>€ Ära d.G. Kaisers</c:v>
                </c:tx>
                <c:spPr>
                  <a:ln w="28575" cap="rnd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 w="9525">
                      <a:solidFill>
                        <a:schemeClr val="accent4">
                          <a:lumMod val="75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'Übersicht &amp; Anleitung'!$W$56:$W$77</c15:sqref>
                        </c15:formulaRef>
                      </c:ext>
                    </c:extLst>
                    <c:numCache>
                      <c:formatCode>#,##0\ "€"</c:formatCode>
                      <c:ptCount val="22"/>
                      <c:pt idx="0">
                        <c:v>0</c:v>
                      </c:pt>
                      <c:pt idx="1">
                        <c:v>39596</c:v>
                      </c:pt>
                      <c:pt idx="2">
                        <c:v>55623</c:v>
                      </c:pt>
                      <c:pt idx="3">
                        <c:v>65490</c:v>
                      </c:pt>
                      <c:pt idx="4">
                        <c:v>69834</c:v>
                      </c:pt>
                      <c:pt idx="5">
                        <c:v>75551</c:v>
                      </c:pt>
                      <c:pt idx="6">
                        <c:v>85403</c:v>
                      </c:pt>
                      <c:pt idx="7">
                        <c:v>94449</c:v>
                      </c:pt>
                      <c:pt idx="8">
                        <c:v>103073</c:v>
                      </c:pt>
                      <c:pt idx="9">
                        <c:v>113149</c:v>
                      </c:pt>
                      <c:pt idx="10">
                        <c:v>120667</c:v>
                      </c:pt>
                      <c:pt idx="11">
                        <c:v>127353</c:v>
                      </c:pt>
                      <c:pt idx="12">
                        <c:v>134068</c:v>
                      </c:pt>
                      <c:pt idx="13">
                        <c:v>139930</c:v>
                      </c:pt>
                      <c:pt idx="14">
                        <c:v>148846</c:v>
                      </c:pt>
                      <c:pt idx="15">
                        <c:v>159815</c:v>
                      </c:pt>
                      <c:pt idx="16">
                        <c:v>167089</c:v>
                      </c:pt>
                      <c:pt idx="17">
                        <c:v>174268</c:v>
                      </c:pt>
                      <c:pt idx="18">
                        <c:v>180234</c:v>
                      </c:pt>
                      <c:pt idx="19">
                        <c:v>197561</c:v>
                      </c:pt>
                      <c:pt idx="20">
                        <c:v>214259</c:v>
                      </c:pt>
                      <c:pt idx="21">
                        <c:v>249219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3CC7-4D1D-A37C-F1D2F85CFD9E}"/>
                  </c:ext>
                </c:extLst>
              </c15:ser>
            </c15:filteredLineSeries>
          </c:ext>
        </c:extLst>
      </c:lineChart>
      <c:catAx>
        <c:axId val="51414163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de-DE"/>
          </a:p>
        </c:txPr>
        <c:crossAx val="514139008"/>
        <c:crosses val="autoZero"/>
        <c:auto val="0"/>
        <c:lblAlgn val="ctr"/>
        <c:lblOffset val="100"/>
        <c:noMultiLvlLbl val="0"/>
      </c:catAx>
      <c:valAx>
        <c:axId val="514139008"/>
        <c:scaling>
          <c:orientation val="minMax"/>
          <c:max val="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\ &quot;T€&quot;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de-DE"/>
          </a:p>
        </c:txPr>
        <c:crossAx val="514141632"/>
        <c:crossesAt val="43874"/>
        <c:crossBetween val="midCat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960715970822713"/>
          <c:y val="1.5639151688508966E-2"/>
          <c:w val="0.820008174629279"/>
          <c:h val="6.5162273877441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de-DE">
                <a:solidFill>
                  <a:sysClr val="windowText" lastClr="000000"/>
                </a:solidFill>
              </a:rPr>
              <a:t>Aktueller Stand</a:t>
            </a:r>
          </a:p>
          <a:p>
            <a:pPr>
              <a:defRPr/>
            </a:pPr>
            <a:r>
              <a:rPr lang="de-DE">
                <a:solidFill>
                  <a:sysClr val="windowText" lastClr="000000"/>
                </a:solidFill>
              </a:rPr>
              <a:t>und Prognose Backer</a:t>
            </a:r>
          </a:p>
        </c:rich>
      </c:tx>
      <c:layout>
        <c:manualLayout>
          <c:xMode val="edge"/>
          <c:yMode val="edge"/>
          <c:x val="3.0453674649409502E-2"/>
          <c:y val="8.913713428676604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0805541273050116E-2"/>
          <c:y val="0.10467574213818567"/>
          <c:w val="0.91830377043797451"/>
          <c:h val="0.84492288813297134"/>
        </c:manualLayout>
      </c:layout>
      <c:lineChart>
        <c:grouping val="standard"/>
        <c:varyColors val="0"/>
        <c:ser>
          <c:idx val="5"/>
          <c:order val="1"/>
          <c:tx>
            <c:v>Backer Werkzeuge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'Übersicht &amp; Anleitung'!$X$88:$X$109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F090-4B47-B039-C2E9452AA03A}"/>
            </c:ext>
          </c:extLst>
        </c:ser>
        <c:ser>
          <c:idx val="1"/>
          <c:order val="2"/>
          <c:tx>
            <c:v>Backer Sonnenküste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'Übersicht &amp; Anleitung'!$O$88:$O$109</c:f>
              <c:numCache>
                <c:formatCode>#,##0</c:formatCode>
                <c:ptCount val="22"/>
                <c:pt idx="0">
                  <c:v>0</c:v>
                </c:pt>
                <c:pt idx="1">
                  <c:v>625</c:v>
                </c:pt>
                <c:pt idx="2">
                  <c:v>789</c:v>
                </c:pt>
                <c:pt idx="3">
                  <c:v>852</c:v>
                </c:pt>
                <c:pt idx="4">
                  <c:v>891</c:v>
                </c:pt>
                <c:pt idx="5">
                  <c:v>918</c:v>
                </c:pt>
                <c:pt idx="6">
                  <c:v>953</c:v>
                </c:pt>
                <c:pt idx="7">
                  <c:v>1044</c:v>
                </c:pt>
                <c:pt idx="8">
                  <c:v>1084</c:v>
                </c:pt>
                <c:pt idx="9">
                  <c:v>1112</c:v>
                </c:pt>
                <c:pt idx="10">
                  <c:v>1140</c:v>
                </c:pt>
                <c:pt idx="11">
                  <c:v>1163</c:v>
                </c:pt>
                <c:pt idx="12">
                  <c:v>1189</c:v>
                </c:pt>
                <c:pt idx="13">
                  <c:v>1205</c:v>
                </c:pt>
                <c:pt idx="14">
                  <c:v>1232</c:v>
                </c:pt>
                <c:pt idx="15">
                  <c:v>1313</c:v>
                </c:pt>
                <c:pt idx="16">
                  <c:v>1350</c:v>
                </c:pt>
                <c:pt idx="17">
                  <c:v>1384</c:v>
                </c:pt>
                <c:pt idx="18">
                  <c:v>1419</c:v>
                </c:pt>
                <c:pt idx="19">
                  <c:v>1483</c:v>
                </c:pt>
                <c:pt idx="20">
                  <c:v>1545</c:v>
                </c:pt>
                <c:pt idx="21">
                  <c:v>1664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2-D13C-4DCF-A6E7-5437B880B125}"/>
            </c:ext>
          </c:extLst>
        </c:ser>
        <c:ser>
          <c:idx val="6"/>
          <c:order val="3"/>
          <c:tx>
            <c:v>Backer Rohals Erben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'Übersicht &amp; Anleitung'!$S$88:$S$109</c:f>
              <c:numCache>
                <c:formatCode>#,##0</c:formatCode>
                <c:ptCount val="22"/>
                <c:pt idx="0">
                  <c:v>0</c:v>
                </c:pt>
                <c:pt idx="1">
                  <c:v>341</c:v>
                </c:pt>
                <c:pt idx="2">
                  <c:v>404</c:v>
                </c:pt>
                <c:pt idx="3">
                  <c:v>480</c:v>
                </c:pt>
                <c:pt idx="4">
                  <c:v>520</c:v>
                </c:pt>
                <c:pt idx="5">
                  <c:v>564</c:v>
                </c:pt>
                <c:pt idx="6">
                  <c:v>652</c:v>
                </c:pt>
                <c:pt idx="7">
                  <c:v>709</c:v>
                </c:pt>
                <c:pt idx="8">
                  <c:v>792</c:v>
                </c:pt>
                <c:pt idx="9">
                  <c:v>851</c:v>
                </c:pt>
                <c:pt idx="10">
                  <c:v>893</c:v>
                </c:pt>
                <c:pt idx="11">
                  <c:v>935</c:v>
                </c:pt>
                <c:pt idx="12">
                  <c:v>976</c:v>
                </c:pt>
                <c:pt idx="13">
                  <c:v>1011</c:v>
                </c:pt>
                <c:pt idx="14">
                  <c:v>1060</c:v>
                </c:pt>
                <c:pt idx="15">
                  <c:v>1096</c:v>
                </c:pt>
                <c:pt idx="16">
                  <c:v>1134</c:v>
                </c:pt>
                <c:pt idx="17">
                  <c:v>1160</c:v>
                </c:pt>
                <c:pt idx="18">
                  <c:v>1210</c:v>
                </c:pt>
                <c:pt idx="19">
                  <c:v>1290</c:v>
                </c:pt>
                <c:pt idx="20">
                  <c:v>1421</c:v>
                </c:pt>
                <c:pt idx="21">
                  <c:v>1658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D13C-4DCF-A6E7-5437B880B125}"/>
            </c:ext>
          </c:extLst>
        </c:ser>
        <c:ser>
          <c:idx val="9"/>
          <c:order val="5"/>
          <c:tx>
            <c:v>Backer Gunst der Göttin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D23ED"/>
              </a:solidFill>
              <a:ln w="9525">
                <a:solidFill>
                  <a:srgbClr val="FD23ED"/>
                </a:solidFill>
              </a:ln>
              <a:effectLst/>
            </c:spPr>
          </c:marker>
          <c:val>
            <c:numRef>
              <c:f>'Übersicht &amp; Anleitung'!$Y$88:$Y$109</c:f>
            </c:numRef>
          </c:val>
          <c:smooth val="0"/>
          <c:extLst>
            <c:ext xmlns:c16="http://schemas.microsoft.com/office/drawing/2014/chart" uri="{C3380CC4-5D6E-409C-BE32-E72D297353CC}">
              <c16:uniqueId val="{00000034-D13C-4DCF-A6E7-5437B880B125}"/>
            </c:ext>
          </c:extLst>
        </c:ser>
        <c:ser>
          <c:idx val="10"/>
          <c:order val="6"/>
          <c:tx>
            <c:v>Backer Winterwacht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'Übersicht &amp; Anleitung'!$P$88:$P$109</c:f>
              <c:numCache>
                <c:formatCode>#,##0</c:formatCode>
                <c:ptCount val="22"/>
                <c:pt idx="0">
                  <c:v>0</c:v>
                </c:pt>
                <c:pt idx="1">
                  <c:v>489</c:v>
                </c:pt>
                <c:pt idx="2">
                  <c:v>618</c:v>
                </c:pt>
                <c:pt idx="3">
                  <c:v>731</c:v>
                </c:pt>
                <c:pt idx="4">
                  <c:v>797</c:v>
                </c:pt>
                <c:pt idx="5">
                  <c:v>847</c:v>
                </c:pt>
                <c:pt idx="6">
                  <c:v>901</c:v>
                </c:pt>
                <c:pt idx="7">
                  <c:v>953</c:v>
                </c:pt>
                <c:pt idx="8">
                  <c:v>994</c:v>
                </c:pt>
                <c:pt idx="9">
                  <c:v>1040</c:v>
                </c:pt>
                <c:pt idx="10">
                  <c:v>1073</c:v>
                </c:pt>
                <c:pt idx="11">
                  <c:v>1104</c:v>
                </c:pt>
                <c:pt idx="12">
                  <c:v>1137</c:v>
                </c:pt>
                <c:pt idx="13">
                  <c:v>1159</c:v>
                </c:pt>
                <c:pt idx="14">
                  <c:v>1207</c:v>
                </c:pt>
                <c:pt idx="15">
                  <c:v>1257</c:v>
                </c:pt>
                <c:pt idx="16">
                  <c:v>1301</c:v>
                </c:pt>
                <c:pt idx="17">
                  <c:v>1341</c:v>
                </c:pt>
                <c:pt idx="18">
                  <c:v>1386</c:v>
                </c:pt>
                <c:pt idx="19">
                  <c:v>1454</c:v>
                </c:pt>
                <c:pt idx="20">
                  <c:v>1533</c:v>
                </c:pt>
                <c:pt idx="21">
                  <c:v>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D13C-4DCF-A6E7-5437B880B125}"/>
            </c:ext>
          </c:extLst>
        </c:ser>
        <c:ser>
          <c:idx val="16"/>
          <c:order val="7"/>
          <c:tx>
            <c:v>Backer Echsensümpfe</c:v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Anleitung'!$Q$88:$Q$109</c:f>
              <c:numCache>
                <c:formatCode>#,##0</c:formatCode>
                <c:ptCount val="22"/>
                <c:pt idx="0">
                  <c:v>0</c:v>
                </c:pt>
                <c:pt idx="1">
                  <c:v>396</c:v>
                </c:pt>
                <c:pt idx="2">
                  <c:v>516</c:v>
                </c:pt>
                <c:pt idx="3">
                  <c:v>580</c:v>
                </c:pt>
                <c:pt idx="4">
                  <c:v>622</c:v>
                </c:pt>
                <c:pt idx="5">
                  <c:v>661</c:v>
                </c:pt>
                <c:pt idx="6">
                  <c:v>706</c:v>
                </c:pt>
                <c:pt idx="7">
                  <c:v>746</c:v>
                </c:pt>
                <c:pt idx="8">
                  <c:v>781</c:v>
                </c:pt>
                <c:pt idx="9">
                  <c:v>821</c:v>
                </c:pt>
                <c:pt idx="10">
                  <c:v>858</c:v>
                </c:pt>
                <c:pt idx="11">
                  <c:v>877</c:v>
                </c:pt>
                <c:pt idx="12">
                  <c:v>901</c:v>
                </c:pt>
                <c:pt idx="13">
                  <c:v>929</c:v>
                </c:pt>
                <c:pt idx="14">
                  <c:v>966</c:v>
                </c:pt>
                <c:pt idx="15">
                  <c:v>1013</c:v>
                </c:pt>
                <c:pt idx="16">
                  <c:v>1049</c:v>
                </c:pt>
                <c:pt idx="17">
                  <c:v>1075</c:v>
                </c:pt>
                <c:pt idx="18">
                  <c:v>1113</c:v>
                </c:pt>
                <c:pt idx="19">
                  <c:v>1192</c:v>
                </c:pt>
                <c:pt idx="20">
                  <c:v>1301</c:v>
                </c:pt>
                <c:pt idx="21">
                  <c:v>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0240-41EE-9611-CEC9C9CBB7B2}"/>
            </c:ext>
          </c:extLst>
        </c:ser>
        <c:ser>
          <c:idx val="18"/>
          <c:order val="8"/>
          <c:tx>
            <c:v>Backer Wolfsfrost</c:v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val>
            <c:numRef>
              <c:f>'Übersicht &amp; Anleitung'!$R$88:$R$109</c:f>
              <c:numCache>
                <c:formatCode>#,##0</c:formatCode>
                <c:ptCount val="22"/>
                <c:pt idx="0">
                  <c:v>0</c:v>
                </c:pt>
                <c:pt idx="1">
                  <c:v>504</c:v>
                </c:pt>
                <c:pt idx="2">
                  <c:v>617</c:v>
                </c:pt>
                <c:pt idx="3">
                  <c:v>696</c:v>
                </c:pt>
                <c:pt idx="4">
                  <c:v>759</c:v>
                </c:pt>
                <c:pt idx="5">
                  <c:v>790</c:v>
                </c:pt>
                <c:pt idx="6">
                  <c:v>821</c:v>
                </c:pt>
                <c:pt idx="7">
                  <c:v>855</c:v>
                </c:pt>
                <c:pt idx="8">
                  <c:v>882</c:v>
                </c:pt>
                <c:pt idx="9">
                  <c:v>905</c:v>
                </c:pt>
                <c:pt idx="10">
                  <c:v>957</c:v>
                </c:pt>
                <c:pt idx="11">
                  <c:v>989</c:v>
                </c:pt>
                <c:pt idx="12">
                  <c:v>1026</c:v>
                </c:pt>
                <c:pt idx="13">
                  <c:v>1068</c:v>
                </c:pt>
                <c:pt idx="14">
                  <c:v>1115</c:v>
                </c:pt>
                <c:pt idx="15">
                  <c:v>1170</c:v>
                </c:pt>
                <c:pt idx="16">
                  <c:v>1216</c:v>
                </c:pt>
                <c:pt idx="17">
                  <c:v>1256</c:v>
                </c:pt>
                <c:pt idx="18">
                  <c:v>1296</c:v>
                </c:pt>
                <c:pt idx="19">
                  <c:v>1340</c:v>
                </c:pt>
                <c:pt idx="20">
                  <c:v>1403</c:v>
                </c:pt>
                <c:pt idx="21">
                  <c:v>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285B-47B2-83E0-57588ECA4526}"/>
            </c:ext>
          </c:extLst>
        </c:ser>
        <c:ser>
          <c:idx val="8"/>
          <c:order val="9"/>
          <c:tx>
            <c:v>Backer Best Case</c:v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val>
            <c:numRef>
              <c:f>'Übersicht &amp; Anleitung'!$K$88:$K$109</c:f>
              <c:numCache>
                <c:formatCode>#,##0</c:formatCode>
                <c:ptCount val="22"/>
                <c:pt idx="0" formatCode="General">
                  <c:v>0</c:v>
                </c:pt>
                <c:pt idx="1">
                  <c:v>723</c:v>
                </c:pt>
                <c:pt idx="2">
                  <c:v>827</c:v>
                </c:pt>
                <c:pt idx="3">
                  <c:v>887</c:v>
                </c:pt>
                <c:pt idx="4">
                  <c:v>938</c:v>
                </c:pt>
                <c:pt idx="5">
                  <c:v>971</c:v>
                </c:pt>
                <c:pt idx="6">
                  <c:v>1014</c:v>
                </c:pt>
                <c:pt idx="7">
                  <c:v>1040</c:v>
                </c:pt>
                <c:pt idx="8">
                  <c:v>1073</c:v>
                </c:pt>
                <c:pt idx="9">
                  <c:v>1138</c:v>
                </c:pt>
                <c:pt idx="10">
                  <c:v>1182</c:v>
                </c:pt>
                <c:pt idx="11">
                  <c:v>1209</c:v>
                </c:pt>
                <c:pt idx="12">
                  <c:v>1245</c:v>
                </c:pt>
                <c:pt idx="13">
                  <c:v>1267</c:v>
                </c:pt>
                <c:pt idx="14">
                  <c:v>1314</c:v>
                </c:pt>
                <c:pt idx="15">
                  <c:v>1376</c:v>
                </c:pt>
                <c:pt idx="16">
                  <c:v>1410</c:v>
                </c:pt>
                <c:pt idx="17">
                  <c:v>1442</c:v>
                </c:pt>
                <c:pt idx="18">
                  <c:v>1481</c:v>
                </c:pt>
                <c:pt idx="19">
                  <c:v>1516</c:v>
                </c:pt>
                <c:pt idx="20">
                  <c:v>1607</c:v>
                </c:pt>
                <c:pt idx="21">
                  <c:v>1770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A-F090-4B47-B039-C2E9452AA03A}"/>
            </c:ext>
          </c:extLst>
        </c:ser>
        <c:ser>
          <c:idx val="11"/>
          <c:order val="10"/>
          <c:tx>
            <c:v>Backer DSK Fasar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Anleitung'!$Z$88:$Z$109</c:f>
            </c:numRef>
          </c:val>
          <c:smooth val="0"/>
          <c:extLst>
            <c:ext xmlns:c16="http://schemas.microsoft.com/office/drawing/2014/chart" uri="{C3380CC4-5D6E-409C-BE32-E72D297353CC}">
              <c16:uniqueId val="{00000032-8935-4DDB-A198-DE245B7BD8A0}"/>
            </c:ext>
          </c:extLst>
        </c:ser>
        <c:ser>
          <c:idx val="20"/>
          <c:order val="11"/>
          <c:tx>
            <c:strRef>
              <c:f>'Übersicht &amp; Anleitung'!$T$86:$T$87</c:f>
              <c:strCache>
                <c:ptCount val="2"/>
                <c:pt idx="0">
                  <c:v>Backer</c:v>
                </c:pt>
                <c:pt idx="1">
                  <c:v>Kirchen Alverans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'Übersicht &amp; Anleitung'!$T$88:$T$109</c:f>
              <c:numCache>
                <c:formatCode>#,##0</c:formatCode>
                <c:ptCount val="22"/>
                <c:pt idx="0">
                  <c:v>0</c:v>
                </c:pt>
                <c:pt idx="1">
                  <c:v>550</c:v>
                </c:pt>
                <c:pt idx="2">
                  <c:v>683</c:v>
                </c:pt>
                <c:pt idx="3">
                  <c:v>755</c:v>
                </c:pt>
                <c:pt idx="4">
                  <c:v>813</c:v>
                </c:pt>
                <c:pt idx="5">
                  <c:v>872</c:v>
                </c:pt>
                <c:pt idx="6">
                  <c:v>917</c:v>
                </c:pt>
                <c:pt idx="7">
                  <c:v>955</c:v>
                </c:pt>
                <c:pt idx="8">
                  <c:v>1005</c:v>
                </c:pt>
                <c:pt idx="9">
                  <c:v>1033</c:v>
                </c:pt>
                <c:pt idx="10">
                  <c:v>1053</c:v>
                </c:pt>
                <c:pt idx="11">
                  <c:v>1080</c:v>
                </c:pt>
                <c:pt idx="12">
                  <c:v>1103</c:v>
                </c:pt>
                <c:pt idx="13">
                  <c:v>1127</c:v>
                </c:pt>
                <c:pt idx="14">
                  <c:v>1165</c:v>
                </c:pt>
                <c:pt idx="15">
                  <c:v>1187</c:v>
                </c:pt>
                <c:pt idx="16">
                  <c:v>1242</c:v>
                </c:pt>
                <c:pt idx="17">
                  <c:v>1281</c:v>
                </c:pt>
                <c:pt idx="18">
                  <c:v>1333</c:v>
                </c:pt>
                <c:pt idx="19">
                  <c:v>1363</c:v>
                </c:pt>
                <c:pt idx="20">
                  <c:v>1464</c:v>
                </c:pt>
                <c:pt idx="21">
                  <c:v>1621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3EC1-4EE8-AE43-508D7E928430}"/>
            </c:ext>
          </c:extLst>
        </c:ser>
        <c:ser>
          <c:idx val="7"/>
          <c:order val="12"/>
          <c:tx>
            <c:v>Backer Worst Case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'Übersicht &amp; Anleitung'!$J$88:$J$109</c:f>
              <c:numCache>
                <c:formatCode>#,##0</c:formatCode>
                <c:ptCount val="22"/>
                <c:pt idx="0" formatCode="General">
                  <c:v>0</c:v>
                </c:pt>
                <c:pt idx="1">
                  <c:v>723</c:v>
                </c:pt>
                <c:pt idx="2">
                  <c:v>827</c:v>
                </c:pt>
                <c:pt idx="3">
                  <c:v>887</c:v>
                </c:pt>
                <c:pt idx="4">
                  <c:v>938</c:v>
                </c:pt>
                <c:pt idx="5">
                  <c:v>971</c:v>
                </c:pt>
                <c:pt idx="6">
                  <c:v>1014</c:v>
                </c:pt>
                <c:pt idx="7">
                  <c:v>1040</c:v>
                </c:pt>
                <c:pt idx="8">
                  <c:v>1073</c:v>
                </c:pt>
                <c:pt idx="9">
                  <c:v>1138</c:v>
                </c:pt>
                <c:pt idx="10">
                  <c:v>1182</c:v>
                </c:pt>
                <c:pt idx="11">
                  <c:v>1209</c:v>
                </c:pt>
                <c:pt idx="12">
                  <c:v>1245</c:v>
                </c:pt>
                <c:pt idx="13">
                  <c:v>1267</c:v>
                </c:pt>
                <c:pt idx="14">
                  <c:v>1314</c:v>
                </c:pt>
                <c:pt idx="15">
                  <c:v>1376</c:v>
                </c:pt>
                <c:pt idx="16">
                  <c:v>1410</c:v>
                </c:pt>
                <c:pt idx="17">
                  <c:v>1442</c:v>
                </c:pt>
                <c:pt idx="18">
                  <c:v>1481</c:v>
                </c:pt>
                <c:pt idx="19">
                  <c:v>1516</c:v>
                </c:pt>
                <c:pt idx="20">
                  <c:v>1607</c:v>
                </c:pt>
                <c:pt idx="21">
                  <c:v>1770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B-F090-4B47-B039-C2E9452AA03A}"/>
            </c:ext>
          </c:extLst>
        </c:ser>
        <c:ser>
          <c:idx val="12"/>
          <c:order val="13"/>
          <c:tx>
            <c:v>Backer DSK Schleichender Verfall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val>
            <c:numRef>
              <c:f>'Übersicht &amp; Anleitung'!$AA$88:$AA$109</c:f>
            </c:numRef>
          </c:val>
          <c:smooth val="0"/>
          <c:extLst>
            <c:ext xmlns:c16="http://schemas.microsoft.com/office/drawing/2014/chart" uri="{C3380CC4-5D6E-409C-BE32-E72D297353CC}">
              <c16:uniqueId val="{00000033-8935-4DDB-A198-DE245B7BD8A0}"/>
            </c:ext>
          </c:extLst>
        </c:ser>
        <c:ser>
          <c:idx val="19"/>
          <c:order val="14"/>
          <c:tx>
            <c:v>Backer Kelche der Macht</c:v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Anleitung'!$AG$88:$AG$109</c:f>
            </c:numRef>
          </c:val>
          <c:smooth val="0"/>
          <c:extLst>
            <c:ext xmlns:c16="http://schemas.microsoft.com/office/drawing/2014/chart" uri="{C3380CC4-5D6E-409C-BE32-E72D297353CC}">
              <c16:uniqueId val="{00000032-4E70-40FF-887F-392F2BF21899}"/>
            </c:ext>
          </c:extLst>
        </c:ser>
        <c:ser>
          <c:idx val="2"/>
          <c:order val="15"/>
          <c:tx>
            <c:v>Backer Erste Schätzung max.</c:v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numRef>
              <c:f>'Übersicht &amp; Anleitung'!$G$56:$G$77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  <c:extLst xmlns:c15="http://schemas.microsoft.com/office/drawing/2012/chart"/>
            </c:numRef>
          </c:cat>
          <c:val>
            <c:numRef>
              <c:f>'Übersicht &amp; Anleitung'!$M$88:$M$109</c:f>
              <c:numCache>
                <c:formatCode>#,##0</c:formatCode>
                <c:ptCount val="22"/>
                <c:pt idx="0">
                  <c:v>0</c:v>
                </c:pt>
                <c:pt idx="1">
                  <c:v>723</c:v>
                </c:pt>
                <c:pt idx="2">
                  <c:v>827</c:v>
                </c:pt>
                <c:pt idx="3">
                  <c:v>887</c:v>
                </c:pt>
                <c:pt idx="4">
                  <c:v>938</c:v>
                </c:pt>
                <c:pt idx="5">
                  <c:v>971</c:v>
                </c:pt>
                <c:pt idx="6">
                  <c:v>1086</c:v>
                </c:pt>
                <c:pt idx="7">
                  <c:v>1385</c:v>
                </c:pt>
                <c:pt idx="8">
                  <c:v>1517</c:v>
                </c:pt>
                <c:pt idx="9">
                  <c:v>1609</c:v>
                </c:pt>
                <c:pt idx="10">
                  <c:v>1701</c:v>
                </c:pt>
                <c:pt idx="11">
                  <c:v>1777</c:v>
                </c:pt>
                <c:pt idx="12">
                  <c:v>1863</c:v>
                </c:pt>
                <c:pt idx="13">
                  <c:v>1916</c:v>
                </c:pt>
                <c:pt idx="14">
                  <c:v>2005</c:v>
                </c:pt>
                <c:pt idx="15">
                  <c:v>2272</c:v>
                </c:pt>
                <c:pt idx="16">
                  <c:v>2394</c:v>
                </c:pt>
                <c:pt idx="17">
                  <c:v>2506</c:v>
                </c:pt>
                <c:pt idx="18">
                  <c:v>2621</c:v>
                </c:pt>
                <c:pt idx="19">
                  <c:v>2832</c:v>
                </c:pt>
                <c:pt idx="20">
                  <c:v>3036</c:v>
                </c:pt>
                <c:pt idx="21">
                  <c:v>3428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F090-4B47-B039-C2E9452AA03A}"/>
            </c:ext>
          </c:extLst>
        </c:ser>
        <c:ser>
          <c:idx val="13"/>
          <c:order val="16"/>
          <c:tx>
            <c:v>Backer DSK Refurbished</c:v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val>
            <c:numRef>
              <c:f>'Übersicht &amp; Anleitung'!$AB$88:$AB$109</c:f>
            </c:numRef>
          </c:val>
          <c:smooth val="0"/>
          <c:extLst>
            <c:ext xmlns:c16="http://schemas.microsoft.com/office/drawing/2014/chart" uri="{C3380CC4-5D6E-409C-BE32-E72D297353CC}">
              <c16:uniqueId val="{00000034-8935-4DDB-A198-DE245B7BD8A0}"/>
            </c:ext>
          </c:extLst>
        </c:ser>
        <c:ser>
          <c:idx val="3"/>
          <c:order val="17"/>
          <c:tx>
            <c:v>Backer Erste Schätzung min.</c:v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'Übersicht &amp; Anleitung'!$G$56:$G$77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  <c:extLst xmlns:c15="http://schemas.microsoft.com/office/drawing/2012/chart"/>
            </c:numRef>
          </c:cat>
          <c:val>
            <c:numRef>
              <c:f>'Übersicht &amp; Anleitung'!$L$88:$L$109</c:f>
              <c:numCache>
                <c:formatCode>#,##0</c:formatCode>
                <c:ptCount val="22"/>
                <c:pt idx="0">
                  <c:v>0</c:v>
                </c:pt>
                <c:pt idx="1">
                  <c:v>723</c:v>
                </c:pt>
                <c:pt idx="2">
                  <c:v>827</c:v>
                </c:pt>
                <c:pt idx="3">
                  <c:v>887</c:v>
                </c:pt>
                <c:pt idx="4">
                  <c:v>938</c:v>
                </c:pt>
                <c:pt idx="5">
                  <c:v>971</c:v>
                </c:pt>
                <c:pt idx="6">
                  <c:v>1007</c:v>
                </c:pt>
                <c:pt idx="7">
                  <c:v>1027</c:v>
                </c:pt>
                <c:pt idx="8">
                  <c:v>1063</c:v>
                </c:pt>
                <c:pt idx="9">
                  <c:v>1083</c:v>
                </c:pt>
                <c:pt idx="10">
                  <c:v>1109</c:v>
                </c:pt>
                <c:pt idx="11">
                  <c:v>1145</c:v>
                </c:pt>
                <c:pt idx="12">
                  <c:v>1165</c:v>
                </c:pt>
                <c:pt idx="13">
                  <c:v>1170</c:v>
                </c:pt>
                <c:pt idx="14">
                  <c:v>1190</c:v>
                </c:pt>
                <c:pt idx="15">
                  <c:v>1216</c:v>
                </c:pt>
                <c:pt idx="16">
                  <c:v>1257</c:v>
                </c:pt>
                <c:pt idx="17">
                  <c:v>1272</c:v>
                </c:pt>
                <c:pt idx="18">
                  <c:v>1328</c:v>
                </c:pt>
                <c:pt idx="19">
                  <c:v>1389</c:v>
                </c:pt>
                <c:pt idx="20">
                  <c:v>1537</c:v>
                </c:pt>
                <c:pt idx="21">
                  <c:v>1751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F090-4B47-B039-C2E9452AA03A}"/>
            </c:ext>
          </c:extLst>
        </c:ser>
        <c:ser>
          <c:idx val="14"/>
          <c:order val="18"/>
          <c:tx>
            <c:v>Backer Av. Nedime</c:v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3399"/>
              </a:solidFill>
              <a:ln w="9525">
                <a:solidFill>
                  <a:srgbClr val="CC3399"/>
                </a:solidFill>
              </a:ln>
              <a:effectLst/>
            </c:spPr>
          </c:marker>
          <c:val>
            <c:numRef>
              <c:f>'Übersicht &amp; Anleitung'!$AD$88:$AD$109</c:f>
            </c:numRef>
          </c:val>
          <c:smooth val="0"/>
          <c:extLst>
            <c:ext xmlns:c16="http://schemas.microsoft.com/office/drawing/2014/chart" uri="{C3380CC4-5D6E-409C-BE32-E72D297353CC}">
              <c16:uniqueId val="{00000035-8935-4DDB-A198-DE245B7BD8A0}"/>
            </c:ext>
          </c:extLst>
        </c:ser>
        <c:ser>
          <c:idx val="15"/>
          <c:order val="19"/>
          <c:tx>
            <c:v>Backer Av. Mythen &amp; Legenden</c:v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Anleitung'!$AE$88:$AE$109</c:f>
            </c:numRef>
          </c:val>
          <c:smooth val="0"/>
          <c:extLst>
            <c:ext xmlns:c16="http://schemas.microsoft.com/office/drawing/2014/chart" uri="{C3380CC4-5D6E-409C-BE32-E72D297353CC}">
              <c16:uniqueId val="{00000036-8935-4DDB-A198-DE245B7BD8A0}"/>
            </c:ext>
          </c:extLst>
        </c:ser>
        <c:ser>
          <c:idx val="0"/>
          <c:order val="20"/>
          <c:tx>
            <c:v>Backer Aktuelle Prognose</c:v>
          </c:tx>
          <c:spPr>
            <a:ln w="28575" cap="rnd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90-4B47-B039-C2E9452AA03A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090-4B47-B039-C2E9452AA03A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090-4B47-B039-C2E9452AA03A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F090-4B47-B039-C2E9452AA03A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F090-4B47-B039-C2E9452AA03A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F090-4B47-B039-C2E9452AA03A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F090-4B47-B039-C2E9452AA03A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F090-4B47-B039-C2E9452AA03A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F090-4B47-B039-C2E9452AA03A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F090-4B47-B039-C2E9452AA03A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F090-4B47-B039-C2E9452AA03A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F090-4B47-B039-C2E9452AA03A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F090-4B47-B039-C2E9452AA03A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F090-4B47-B039-C2E9452AA03A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F090-4B47-B039-C2E9452AA03A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F090-4B47-B039-C2E9452AA03A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F090-4B47-B039-C2E9452AA03A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F090-4B47-B039-C2E9452AA03A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F090-4B47-B039-C2E9452AA03A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F090-4B47-B039-C2E9452AA03A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F090-4B47-B039-C2E9452AA03A}"/>
              </c:ext>
            </c:extLst>
          </c:dPt>
          <c:dPt>
            <c:idx val="22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F090-4B47-B039-C2E9452AA03A}"/>
              </c:ext>
            </c:extLst>
          </c:dPt>
          <c:dPt>
            <c:idx val="23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F090-4B47-B039-C2E9452AA03A}"/>
              </c:ext>
            </c:extLst>
          </c:dPt>
          <c:dPt>
            <c:idx val="24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F090-4B47-B039-C2E9452AA03A}"/>
              </c:ext>
            </c:extLst>
          </c:dPt>
          <c:dPt>
            <c:idx val="25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F090-4B47-B039-C2E9452AA03A}"/>
              </c:ext>
            </c:extLst>
          </c:dPt>
          <c:cat>
            <c:numRef>
              <c:f>'Übersicht &amp; Anleitung'!$G$56:$G$77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'Übersicht &amp; Anleitung'!$I$88:$I$109</c:f>
              <c:numCache>
                <c:formatCode>#,##0</c:formatCode>
                <c:ptCount val="22"/>
                <c:pt idx="0">
                  <c:v>0</c:v>
                </c:pt>
                <c:pt idx="1">
                  <c:v>723</c:v>
                </c:pt>
                <c:pt idx="2">
                  <c:v>827</c:v>
                </c:pt>
                <c:pt idx="3">
                  <c:v>887</c:v>
                </c:pt>
                <c:pt idx="4">
                  <c:v>938</c:v>
                </c:pt>
                <c:pt idx="5">
                  <c:v>971</c:v>
                </c:pt>
                <c:pt idx="6">
                  <c:v>1014</c:v>
                </c:pt>
                <c:pt idx="7">
                  <c:v>1040</c:v>
                </c:pt>
                <c:pt idx="8">
                  <c:v>1073</c:v>
                </c:pt>
                <c:pt idx="9">
                  <c:v>1138</c:v>
                </c:pt>
                <c:pt idx="10">
                  <c:v>1182</c:v>
                </c:pt>
                <c:pt idx="11">
                  <c:v>1209</c:v>
                </c:pt>
                <c:pt idx="12">
                  <c:v>1245</c:v>
                </c:pt>
                <c:pt idx="13">
                  <c:v>1267</c:v>
                </c:pt>
                <c:pt idx="14">
                  <c:v>1314</c:v>
                </c:pt>
                <c:pt idx="15">
                  <c:v>1376</c:v>
                </c:pt>
                <c:pt idx="16">
                  <c:v>1410</c:v>
                </c:pt>
                <c:pt idx="17">
                  <c:v>1442</c:v>
                </c:pt>
                <c:pt idx="18">
                  <c:v>1481</c:v>
                </c:pt>
                <c:pt idx="19">
                  <c:v>1516</c:v>
                </c:pt>
                <c:pt idx="20">
                  <c:v>1607</c:v>
                </c:pt>
                <c:pt idx="21">
                  <c:v>1770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F090-4B47-B039-C2E9452AA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141632"/>
        <c:axId val="5141390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v>Backer Thorwal</c:v>
                </c:tx>
                <c:spPr>
                  <a:ln w="28575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7030A0"/>
                    </a:solidFill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'Übersicht &amp; Anleitung'!$N$88:$N$109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0</c:v>
                      </c:pt>
                      <c:pt idx="1">
                        <c:v>500</c:v>
                      </c:pt>
                      <c:pt idx="11">
                        <c:v>900</c:v>
                      </c:pt>
                      <c:pt idx="21">
                        <c:v>1572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090-4B47-B039-C2E9452AA03A}"/>
                  </c:ext>
                </c:extLst>
              </c15:ser>
            </c15:filteredLineSeries>
            <c15:filteredLineSeries>
              <c15:ser>
                <c:idx val="17"/>
                <c:order val="4"/>
                <c:tx>
                  <c:v>Backer Ära d.G. Kaisers</c:v>
                </c:tx>
                <c:spPr>
                  <a:ln w="28575" cap="rnd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 w="9525">
                      <a:solidFill>
                        <a:schemeClr val="accent4">
                          <a:lumMod val="75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'Übersicht &amp; Anleitung'!$W$88:$W$109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0</c:v>
                      </c:pt>
                      <c:pt idx="1">
                        <c:v>180</c:v>
                      </c:pt>
                      <c:pt idx="2">
                        <c:v>256</c:v>
                      </c:pt>
                      <c:pt idx="3">
                        <c:v>301</c:v>
                      </c:pt>
                      <c:pt idx="4">
                        <c:v>323</c:v>
                      </c:pt>
                      <c:pt idx="5">
                        <c:v>351</c:v>
                      </c:pt>
                      <c:pt idx="6">
                        <c:v>395</c:v>
                      </c:pt>
                      <c:pt idx="7">
                        <c:v>435</c:v>
                      </c:pt>
                      <c:pt idx="8">
                        <c:v>476</c:v>
                      </c:pt>
                      <c:pt idx="9">
                        <c:v>524</c:v>
                      </c:pt>
                      <c:pt idx="10">
                        <c:v>564</c:v>
                      </c:pt>
                      <c:pt idx="11">
                        <c:v>596</c:v>
                      </c:pt>
                      <c:pt idx="12">
                        <c:v>624</c:v>
                      </c:pt>
                      <c:pt idx="13">
                        <c:v>656</c:v>
                      </c:pt>
                      <c:pt idx="14">
                        <c:v>696</c:v>
                      </c:pt>
                      <c:pt idx="15">
                        <c:v>727</c:v>
                      </c:pt>
                      <c:pt idx="16">
                        <c:v>758</c:v>
                      </c:pt>
                      <c:pt idx="17">
                        <c:v>790</c:v>
                      </c:pt>
                      <c:pt idx="18">
                        <c:v>821</c:v>
                      </c:pt>
                      <c:pt idx="19">
                        <c:v>900</c:v>
                      </c:pt>
                      <c:pt idx="20">
                        <c:v>985</c:v>
                      </c:pt>
                      <c:pt idx="21">
                        <c:v>1136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3-0240-41EE-9611-CEC9C9CBB7B2}"/>
                  </c:ext>
                </c:extLst>
              </c15:ser>
            </c15:filteredLineSeries>
          </c:ext>
        </c:extLst>
      </c:lineChart>
      <c:catAx>
        <c:axId val="51414163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de-DE"/>
          </a:p>
        </c:txPr>
        <c:crossAx val="514139008"/>
        <c:crosses val="autoZero"/>
        <c:auto val="0"/>
        <c:lblAlgn val="ctr"/>
        <c:lblOffset val="100"/>
        <c:noMultiLvlLbl val="0"/>
      </c:catAx>
      <c:valAx>
        <c:axId val="514139008"/>
        <c:scaling>
          <c:orientation val="minMax"/>
          <c:max val="1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de-DE"/>
          </a:p>
        </c:txPr>
        <c:crossAx val="514141632"/>
        <c:crossesAt val="43874"/>
        <c:crossBetween val="midCat"/>
        <c:majorUnit val="50"/>
        <c:minorUnit val="1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781968135006653"/>
          <c:y val="7.5604929793808831E-3"/>
          <c:w val="0.77124053134976622"/>
          <c:h val="9.18492055712520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s://hinter-dem-schwarzen-auge.de/aventuria-guide" TargetMode="Externa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hyperlink" Target="https://gamefound.com/de/projects/ulisses-spiele/maraskan" TargetMode="Externa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s://hinter-dem-schwarzen-auge.de/link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79904</xdr:colOff>
      <xdr:row>111</xdr:row>
      <xdr:rowOff>114034</xdr:rowOff>
    </xdr:from>
    <xdr:to>
      <xdr:col>13</xdr:col>
      <xdr:colOff>85725</xdr:colOff>
      <xdr:row>118</xdr:row>
      <xdr:rowOff>9526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07A7500-30D6-4373-9CF2-4BED0A125177}"/>
            </a:ext>
          </a:extLst>
        </xdr:cNvPr>
        <xdr:cNvSpPr txBox="1"/>
      </xdr:nvSpPr>
      <xdr:spPr>
        <a:xfrm>
          <a:off x="79904" y="22812109"/>
          <a:ext cx="16703146" cy="1228992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tx1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 baseline="0"/>
            <a:t>Dieser Guide ist eine rein private Geschichte und </a:t>
          </a:r>
          <a:r>
            <a:rPr lang="de-DE" sz="1400" b="1" u="sng" baseline="0"/>
            <a:t>ohne Gewähr</a:t>
          </a:r>
          <a:r>
            <a:rPr lang="de-DE" sz="1400" b="1" baseline="0"/>
            <a:t> auf Vollständigkeit und 100%ige Korrektheit! Danke an alle aus der Community, die mithelfen, dass ich die täglichen Stände um 18 Uhr bekomme.</a:t>
          </a:r>
        </a:p>
        <a:p>
          <a:endParaRPr lang="de-DE" sz="800" b="1" baseline="0"/>
        </a:p>
        <a:p>
          <a:r>
            <a:rPr lang="de-DE" sz="1400" b="1" baseline="0"/>
            <a:t>Bei Fehlern meinerseits ist NICHT Ulisses dafür verantwortlich zu machen! Und ich bitte auch nicht ;) Ihr dürft mir Fehler aber sehr gerne in den CF-Kommentaren, auf Discord, Instagram oder im Orkenspalter-Forum melden!</a:t>
          </a:r>
        </a:p>
        <a:p>
          <a:endParaRPr lang="de-DE" sz="800" b="1" baseline="0"/>
        </a:p>
        <a:p>
          <a:r>
            <a:rPr lang="de-DE" sz="1400" b="1" baseline="0"/>
            <a:t>Und nun gemeinsam auf ins Abenteuer!</a:t>
          </a:r>
        </a:p>
        <a:p>
          <a:r>
            <a:rPr lang="de-DE" sz="1400" b="1"/>
            <a:t>Euer Gernot</a:t>
          </a:r>
          <a:r>
            <a:rPr lang="de-DE" sz="1400" b="1" baseline="0"/>
            <a:t> </a:t>
          </a:r>
          <a:r>
            <a:rPr lang="de-DE" sz="1400" b="1"/>
            <a:t>von Hinter dem Schwarzen Auge</a:t>
          </a:r>
          <a:r>
            <a:rPr lang="de-DE" sz="1400" b="1" baseline="0"/>
            <a:t> ...der DSACast / DSA-Fantalk / DSA-Nachrichten in 3W20 Minuten / etc.    </a:t>
          </a:r>
          <a:r>
            <a:rPr lang="de-DE" sz="1400" b="1"/>
            <a:t>	</a:t>
          </a:r>
          <a:r>
            <a:rPr lang="de-DE" sz="300" b="1"/>
            <a:t>Wer das liest ist neugierig ;)</a:t>
          </a:r>
        </a:p>
      </xdr:txBody>
    </xdr:sp>
    <xdr:clientData/>
  </xdr:twoCellAnchor>
  <xdr:twoCellAnchor>
    <xdr:from>
      <xdr:col>1</xdr:col>
      <xdr:colOff>71436</xdr:colOff>
      <xdr:row>53</xdr:row>
      <xdr:rowOff>57150</xdr:rowOff>
    </xdr:from>
    <xdr:to>
      <xdr:col>6</xdr:col>
      <xdr:colOff>0</xdr:colOff>
      <xdr:row>82</xdr:row>
      <xdr:rowOff>171450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B2D0A86-C198-4204-9484-076D79831B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219075</xdr:colOff>
      <xdr:row>3</xdr:row>
      <xdr:rowOff>57149</xdr:rowOff>
    </xdr:from>
    <xdr:to>
      <xdr:col>5</xdr:col>
      <xdr:colOff>3525271</xdr:colOff>
      <xdr:row>16</xdr:row>
      <xdr:rowOff>20012</xdr:rowOff>
    </xdr:to>
    <xdr:pic>
      <xdr:nvPicPr>
        <xdr:cNvPr id="11" name="Grafik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8A0318-7B66-4012-91D1-6B3CBC0C9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4350" y="666749"/>
          <a:ext cx="3306196" cy="3058488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84</xdr:row>
      <xdr:rowOff>28575</xdr:rowOff>
    </xdr:from>
    <xdr:to>
      <xdr:col>6</xdr:col>
      <xdr:colOff>0</xdr:colOff>
      <xdr:row>111</xdr:row>
      <xdr:rowOff>10848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880EF14B-9001-47D9-8E66-7A2FE928A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1333501</xdr:colOff>
      <xdr:row>3</xdr:row>
      <xdr:rowOff>33907</xdr:rowOff>
    </xdr:from>
    <xdr:to>
      <xdr:col>3</xdr:col>
      <xdr:colOff>4686301</xdr:colOff>
      <xdr:row>17</xdr:row>
      <xdr:rowOff>52957</xdr:rowOff>
    </xdr:to>
    <xdr:pic>
      <xdr:nvPicPr>
        <xdr:cNvPr id="13" name="Grafik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64C3DA-CD53-43EB-8099-0CC07DD25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47976" y="643507"/>
          <a:ext cx="3352800" cy="3352800"/>
        </a:xfrm>
        <a:prstGeom prst="rect">
          <a:avLst/>
        </a:prstGeom>
      </xdr:spPr>
    </xdr:pic>
    <xdr:clientData/>
  </xdr:twoCellAnchor>
  <xdr:twoCellAnchor>
    <xdr:from>
      <xdr:col>7</xdr:col>
      <xdr:colOff>571500</xdr:colOff>
      <xdr:row>9</xdr:row>
      <xdr:rowOff>71437</xdr:rowOff>
    </xdr:from>
    <xdr:to>
      <xdr:col>9</xdr:col>
      <xdr:colOff>254127</xdr:colOff>
      <xdr:row>12</xdr:row>
      <xdr:rowOff>116014</xdr:rowOff>
    </xdr:to>
    <xdr:sp macro="" textlink="">
      <xdr:nvSpPr>
        <xdr:cNvPr id="4" name="Band: nach oben gekrümmt und gekippt 3">
          <a:extLst>
            <a:ext uri="{FF2B5EF4-FFF2-40B4-BE49-F238E27FC236}">
              <a16:creationId xmlns:a16="http://schemas.microsoft.com/office/drawing/2014/main" id="{AE1B099B-3029-2919-A45E-3EA188587F21}"/>
            </a:ext>
          </a:extLst>
        </xdr:cNvPr>
        <xdr:cNvSpPr/>
      </xdr:nvSpPr>
      <xdr:spPr>
        <a:xfrm>
          <a:off x="12649200" y="2109787"/>
          <a:ext cx="1216152" cy="758952"/>
        </a:xfrm>
        <a:prstGeom prst="ellipseRibbon2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15</xdr:col>
      <xdr:colOff>400050</xdr:colOff>
      <xdr:row>9</xdr:row>
      <xdr:rowOff>71437</xdr:rowOff>
    </xdr:from>
    <xdr:to>
      <xdr:col>17</xdr:col>
      <xdr:colOff>92202</xdr:colOff>
      <xdr:row>12</xdr:row>
      <xdr:rowOff>116014</xdr:rowOff>
    </xdr:to>
    <xdr:sp macro="" textlink="">
      <xdr:nvSpPr>
        <xdr:cNvPr id="5" name="Band: nach oben gekrümmt und gekippt 4">
          <a:extLst>
            <a:ext uri="{FF2B5EF4-FFF2-40B4-BE49-F238E27FC236}">
              <a16:creationId xmlns:a16="http://schemas.microsoft.com/office/drawing/2014/main" id="{FAE72C5F-0F48-439D-948C-826D9BB81EFF}"/>
            </a:ext>
          </a:extLst>
        </xdr:cNvPr>
        <xdr:cNvSpPr/>
      </xdr:nvSpPr>
      <xdr:spPr>
        <a:xfrm>
          <a:off x="18583275" y="2109787"/>
          <a:ext cx="1216152" cy="758952"/>
        </a:xfrm>
        <a:prstGeom prst="ellipseRibbon2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4271962</xdr:colOff>
      <xdr:row>28</xdr:row>
      <xdr:rowOff>152400</xdr:rowOff>
    </xdr:from>
    <xdr:to>
      <xdr:col>3</xdr:col>
      <xdr:colOff>4756594</xdr:colOff>
      <xdr:row>30</xdr:row>
      <xdr:rowOff>178308</xdr:rowOff>
    </xdr:to>
    <xdr:sp macro="" textlink="">
      <xdr:nvSpPr>
        <xdr:cNvPr id="6" name="Pfeil: nach unten 5">
          <a:extLst>
            <a:ext uri="{FF2B5EF4-FFF2-40B4-BE49-F238E27FC236}">
              <a16:creationId xmlns:a16="http://schemas.microsoft.com/office/drawing/2014/main" id="{1473221A-6DEF-8243-4E29-CB4166904CAE}"/>
            </a:ext>
          </a:extLst>
        </xdr:cNvPr>
        <xdr:cNvSpPr/>
      </xdr:nvSpPr>
      <xdr:spPr>
        <a:xfrm>
          <a:off x="5786437" y="6477000"/>
          <a:ext cx="484632" cy="502158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4271962</xdr:colOff>
      <xdr:row>32</xdr:row>
      <xdr:rowOff>85725</xdr:rowOff>
    </xdr:from>
    <xdr:to>
      <xdr:col>3</xdr:col>
      <xdr:colOff>4756594</xdr:colOff>
      <xdr:row>34</xdr:row>
      <xdr:rowOff>111633</xdr:rowOff>
    </xdr:to>
    <xdr:sp macro="" textlink="">
      <xdr:nvSpPr>
        <xdr:cNvPr id="7" name="Pfeil: nach unten 6">
          <a:extLst>
            <a:ext uri="{FF2B5EF4-FFF2-40B4-BE49-F238E27FC236}">
              <a16:creationId xmlns:a16="http://schemas.microsoft.com/office/drawing/2014/main" id="{84205043-1334-4267-8981-1679C4BC05E5}"/>
            </a:ext>
          </a:extLst>
        </xdr:cNvPr>
        <xdr:cNvSpPr/>
      </xdr:nvSpPr>
      <xdr:spPr>
        <a:xfrm>
          <a:off x="5786437" y="7362825"/>
          <a:ext cx="484632" cy="502158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200025</xdr:colOff>
      <xdr:row>9</xdr:row>
      <xdr:rowOff>183356</xdr:rowOff>
    </xdr:from>
    <xdr:to>
      <xdr:col>8</xdr:col>
      <xdr:colOff>619125</xdr:colOff>
      <xdr:row>11</xdr:row>
      <xdr:rowOff>78581</xdr:rowOff>
    </xdr:to>
    <xdr:sp macro="" textlink="">
      <xdr:nvSpPr>
        <xdr:cNvPr id="8" name="Herz 7">
          <a:extLst>
            <a:ext uri="{FF2B5EF4-FFF2-40B4-BE49-F238E27FC236}">
              <a16:creationId xmlns:a16="http://schemas.microsoft.com/office/drawing/2014/main" id="{89C164DC-09CF-16A7-62F4-B80FE71D27CD}"/>
            </a:ext>
          </a:extLst>
        </xdr:cNvPr>
        <xdr:cNvSpPr/>
      </xdr:nvSpPr>
      <xdr:spPr>
        <a:xfrm>
          <a:off x="13049250" y="2221706"/>
          <a:ext cx="419100" cy="371475"/>
        </a:xfrm>
        <a:prstGeom prst="hear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16</xdr:col>
      <xdr:colOff>85725</xdr:colOff>
      <xdr:row>9</xdr:row>
      <xdr:rowOff>183356</xdr:rowOff>
    </xdr:from>
    <xdr:to>
      <xdr:col>16</xdr:col>
      <xdr:colOff>504825</xdr:colOff>
      <xdr:row>11</xdr:row>
      <xdr:rowOff>78581</xdr:rowOff>
    </xdr:to>
    <xdr:sp macro="" textlink="">
      <xdr:nvSpPr>
        <xdr:cNvPr id="9" name="Herz 8">
          <a:extLst>
            <a:ext uri="{FF2B5EF4-FFF2-40B4-BE49-F238E27FC236}">
              <a16:creationId xmlns:a16="http://schemas.microsoft.com/office/drawing/2014/main" id="{49826DCC-EAEB-44AC-B190-0E2244328129}"/>
            </a:ext>
          </a:extLst>
        </xdr:cNvPr>
        <xdr:cNvSpPr/>
      </xdr:nvSpPr>
      <xdr:spPr>
        <a:xfrm>
          <a:off x="19030950" y="2221706"/>
          <a:ext cx="419100" cy="371475"/>
        </a:xfrm>
        <a:prstGeom prst="hear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2</xdr:row>
      <xdr:rowOff>28575</xdr:rowOff>
    </xdr:from>
    <xdr:to>
      <xdr:col>7</xdr:col>
      <xdr:colOff>1523400</xdr:colOff>
      <xdr:row>2</xdr:row>
      <xdr:rowOff>715307</xdr:rowOff>
    </xdr:to>
    <xdr:pic>
      <xdr:nvPicPr>
        <xdr:cNvPr id="8" name="Grafi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6EF54A-AE06-4AAA-996F-5D2A1643E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90525"/>
          <a:ext cx="742350" cy="6867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3B8C96C-0DD2-4C9B-A41A-27CE2A14BCAE}" name="Tabelle24" displayName="Tabelle24" ref="AT3:BC24" totalsRowShown="0" headerRowDxfId="128" dataDxfId="127" tableBorderDxfId="126">
  <autoFilter ref="AT3:BC24" xr:uid="{7E5D117A-5BCD-41C7-9378-1146F36C69B4}"/>
  <sortState xmlns:xlrd2="http://schemas.microsoft.com/office/spreadsheetml/2017/richdata2" ref="AT4:BC24">
    <sortCondition descending="1" ref="AU3:AU24"/>
  </sortState>
  <tableColumns count="10">
    <tableColumn id="1" xr3:uid="{4EFEC5B8-0ADA-41C3-A6A5-BE5BF3794F91}" name="Tag" dataDxfId="125"/>
    <tableColumn id="2" xr3:uid="{B346A844-85E3-4729-8E45-6E86A502164F}" name="€" dataDxfId="124">
      <calculatedColumnFormula>VLOOKUP(AT4,$AK$57:$AU$77,11,FALSE)</calculatedColumnFormula>
    </tableColumn>
    <tableColumn id="4" xr3:uid="{25E49E5B-0FD0-4BA1-A3E3-4F46D5471A6D}" name="Backer" dataDxfId="123">
      <calculatedColumnFormula>VLOOKUP(AT4,$AK$57:$AT$77,10,FALSE)</calculatedColumnFormula>
    </tableColumn>
    <tableColumn id="5" xr3:uid="{BFCBC06F-0657-4D18-A8CA-BD9389A4934E}" name="€/Backer" dataDxfId="122">
      <calculatedColumnFormula>IFERROR(Tabelle24[[#This Row],[€]]/Tabelle24[[#This Row],[Backer]],"")</calculatedColumnFormula>
    </tableColumn>
    <tableColumn id="9" xr3:uid="{6C125E6C-2332-492F-B61F-BCD6BD9BB125}" name="€ Min." dataDxfId="121">
      <calculatedColumnFormula>VLOOKUP(AT4,$AK$57:$BI$77,20,FALSE)</calculatedColumnFormula>
    </tableColumn>
    <tableColumn id="3" xr3:uid="{0950BF84-CAF3-42AF-B56A-C65DD78A770B}" name="Backer Min." dataDxfId="120">
      <calculatedColumnFormula>VLOOKUP(AT4,$AK$57:$BI$77,18,FALSE)</calculatedColumnFormula>
    </tableColumn>
    <tableColumn id="6" xr3:uid="{B4FCEE2B-BFB0-44A5-B5E6-95560A9F2E07}" name="€/Backer Min." dataDxfId="119">
      <calculatedColumnFormula>IFERROR(Tabelle24[[#This Row],[€ Min.]]/Tabelle24[[#This Row],[Backer Min.]],"")</calculatedColumnFormula>
    </tableColumn>
    <tableColumn id="10" xr3:uid="{BB5C16A6-59CD-4876-BC93-D628B47D2D5B}" name="€ Max." dataDxfId="118">
      <calculatedColumnFormula>VLOOKUP(AT4,$AK$57:$BI$77,25,FALSE)</calculatedColumnFormula>
    </tableColumn>
    <tableColumn id="7" xr3:uid="{18C45BC0-65F9-470D-9766-75325D3B87F6}" name="Backer Max." dataDxfId="117">
      <calculatedColumnFormula>VLOOKUP(AT4,$AK$57:$BI$77,23,FALSE)</calculatedColumnFormula>
    </tableColumn>
    <tableColumn id="11" xr3:uid="{D3C68137-A43D-4244-8774-B99201CCBE8F}" name="€/Backer Max." dataDxfId="116">
      <calculatedColumnFormula>IFERROR(Tabelle24[[#This Row],[€ Max.]]/Tabelle24[[#This Row],[Backer Max.]],"")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925669-5BD2-4A84-94E3-F70F3B640506}" name="Tabelle5" displayName="Tabelle5" ref="A1:B8" totalsRowShown="0" headerRowDxfId="115" dataDxfId="114">
  <autoFilter ref="A1:B8" xr:uid="{94925669-5BD2-4A84-94E3-F70F3B640506}"/>
  <tableColumns count="2">
    <tableColumn id="1" xr3:uid="{FC2D652E-62E0-40FE-9900-E0AC9E3124EE}" name="Datum" dataDxfId="113"/>
    <tableColumn id="2" xr3:uid="{204D459E-C37D-48E6-AE3E-AB2CFB951C2A}" name="Änderung" dataDxfId="1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4ED9FA-4C8F-4524-B54D-8B7CE53CD18E}" name="Tabelle2" displayName="Tabelle2" ref="A10:D15" totalsRowShown="0">
  <autoFilter ref="A10:D15" xr:uid="{044ED9FA-4C8F-4524-B54D-8B7CE53CD18E}"/>
  <tableColumns count="4">
    <tableColumn id="1" xr3:uid="{F5B1C5A8-9486-47D3-89E5-2D7CBA795D78}" name="Datum" dataDxfId="111"/>
    <tableColumn id="2" xr3:uid="{5DF6CC1C-F771-45A9-8B0D-7878361D198C}" name="Videotitel" dataDxfId="110"/>
    <tableColumn id="4" xr3:uid="{59139404-D659-4975-9658-8C9DA2D51506}" name="Kanal" dataDxfId="109"/>
    <tableColumn id="3" xr3:uid="{63AADABC-82BD-4322-A920-16B3528835A3}" name="Link" dataDxfId="108" dataCellStyle="Link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EA9654-149B-455B-B037-D0C330FFD6EF}" name="Tabelle3" displayName="Tabelle3" ref="A8:BF30" totalsRowShown="0" headerRowDxfId="107">
  <autoFilter ref="A8:BF30" xr:uid="{27422959-90AD-4338-8C23-E3B9F7316881}"/>
  <tableColumns count="58">
    <tableColumn id="1" xr3:uid="{F20F49F8-6EB7-43C1-9922-F620A023E7F0}" name="Tag" dataDxfId="106"/>
    <tableColumn id="2" xr3:uid="{6971CB83-29C8-475B-A31E-D387F03E1C07}" name="Ned (€)" dataDxfId="105"/>
    <tableColumn id="3" xr3:uid="{F664882F-3BD9-41DE-A643-1C890FC1B073}" name="Ned (Backer)" dataDxfId="104"/>
    <tableColumn id="4" xr3:uid="{E579BA6A-6386-4040-8B87-1F53A08CA8B6}" name="Ned (€/B)" dataDxfId="103">
      <calculatedColumnFormula>IFERROR(Tabelle3[[#This Row],[Ned (€)]]/Tabelle3[[#This Row],[Ned (Backer)]],"")</calculatedColumnFormula>
    </tableColumn>
    <tableColumn id="10" xr3:uid="{DF5363C3-935A-49F1-B72D-9DF733CE4302}" name="Werkzeuge (€)" dataDxfId="102"/>
    <tableColumn id="11" xr3:uid="{4CFD1B7C-52BE-49FD-B7F5-1D7A36D73889}" name="Werkzeuge (Backer)" dataDxfId="101"/>
    <tableColumn id="5" xr3:uid="{61100E78-BB32-4A90-9325-A41F57693C15}" name="Werkz (€/B)" dataDxfId="100">
      <calculatedColumnFormula>Tabelle3[[#This Row],[Werkzeuge (€)]]/Tabelle3[[#This Row],[Werkzeuge (Backer)]]</calculatedColumnFormula>
    </tableColumn>
    <tableColumn id="26" xr3:uid="{F4AEE733-FE50-4D43-B8B6-2CFA99AA7EE6}" name="DSK Fasar (€)" dataDxfId="99"/>
    <tableColumn id="29" xr3:uid="{519C5630-D167-4EFA-B84F-F9BC19E907B3}" name="DSK Fasar (Backer)" dataDxfId="98"/>
    <tableColumn id="6" xr3:uid="{854DE083-8DB9-471F-9D2E-9CCE4771207A}" name="DSK Fasar (€/B)" dataDxfId="97">
      <calculatedColumnFormula>Tabelle3[[#This Row],[DSK Fasar (€)]]/Tabelle3[[#This Row],[DSK Fasar (Backer)]]</calculatedColumnFormula>
    </tableColumn>
    <tableColumn id="20" xr3:uid="{C33B8766-778A-4CBA-B6CD-11F696D9BF3F}" name="Mythen (€)" dataDxfId="96"/>
    <tableColumn id="21" xr3:uid="{7FE9A82A-5A08-46A8-A0C2-586311B74BB6}" name="Mythen (Backer)" dataDxfId="95"/>
    <tableColumn id="7" xr3:uid="{1FB905C7-E806-4D0D-8C42-EEC0E36B3E50}" name="Mythen (€/B)" dataDxfId="94">
      <calculatedColumnFormula>Tabelle3[[#This Row],[Mythen (€)]]/Tabelle3[[#This Row],[Mythen (Backer)]]</calculatedColumnFormula>
    </tableColumn>
    <tableColumn id="34" xr3:uid="{ECB31B1D-5FD5-4EF9-871C-99A9FFBB4E6B}" name="SOK (€)" dataDxfId="93"/>
    <tableColumn id="35" xr3:uid="{1E34A881-32F6-48DB-8A12-F2F7F315C3B2}" name="SOK (Backer)" dataDxfId="92"/>
    <tableColumn id="27" xr3:uid="{4E1D286A-D371-44AF-9493-13F1B3BBA1E1}" name="SOK (€/B)" dataDxfId="91">
      <calculatedColumnFormula>Tabelle3[[#This Row],[SOK (€)]]/Tabelle3[[#This Row],[SOK (Backer)]]</calculatedColumnFormula>
    </tableColumn>
    <tableColumn id="32" xr3:uid="{E4B16DC1-4EE4-4038-B4B5-B981FD62F8EA}" name="RE (€)" dataDxfId="90"/>
    <tableColumn id="33" xr3:uid="{8EB42BB1-C038-48A6-A211-78A44E799A6C}" name="RE (Backer)" dataDxfId="89"/>
    <tableColumn id="28" xr3:uid="{675D589F-A6F0-453C-BD2A-15ED374E6B93}" name="RE (€/B)" dataDxfId="88">
      <calculatedColumnFormula>Tabelle3[[#This Row],[RE (€)]]/Tabelle3[[#This Row],[RE (Backer)]]</calculatedColumnFormula>
    </tableColumn>
    <tableColumn id="40" xr3:uid="{B2000EDA-3E67-45D5-8ABE-A7E4CD713D4F}" name="DGG (€)" dataDxfId="87"/>
    <tableColumn id="41" xr3:uid="{545AC5E2-E4BD-4C28-A762-E9269E553E97}" name="DGG (Backer)" dataDxfId="86"/>
    <tableColumn id="30" xr3:uid="{0A7D82D9-FAFD-4AF2-98BD-4B5E82D93B24}" name="DGG (€/B)" dataDxfId="85">
      <calculatedColumnFormula>Tabelle3[[#This Row],[DGG (€)]]/Tabelle3[[#This Row],[DGG (Backer)]]</calculatedColumnFormula>
    </tableColumn>
    <tableColumn id="42" xr3:uid="{D96E1501-FE3A-4B42-9A72-261BAD1904BA}" name="DSK SV (€)" dataDxfId="84"/>
    <tableColumn id="43" xr3:uid="{1BAF0051-85B5-4740-AFB6-EC165E373FD8}" name="DSK SV (Backer)" dataDxfId="83"/>
    <tableColumn id="31" xr3:uid="{138CB00F-2D25-4FC9-8AD0-2920AC181536}" name="DSK SV (€/B)" dataDxfId="82">
      <calculatedColumnFormula>Tabelle3[[#This Row],[DSK SV (€)]]/Tabelle3[[#This Row],[DSK SV (Backer)]]</calculatedColumnFormula>
    </tableColumn>
    <tableColumn id="18" xr3:uid="{B115F17F-0C3A-4787-8FAF-58A699789E37}" name="WW (€)" dataDxfId="81"/>
    <tableColumn id="19" xr3:uid="{11D07988-6567-452C-B145-7D8ECCC114D6}" name="WW (Backer)" dataDxfId="80"/>
    <tableColumn id="36" xr3:uid="{8DC65953-3709-48DB-9A06-A512B0C5BBDC}" name="WW (€/B)" dataDxfId="79">
      <calculatedColumnFormula>Tabelle3[[#This Row],[WW (€)]]/Tabelle3[[#This Row],[WW (Backer)]]</calculatedColumnFormula>
    </tableColumn>
    <tableColumn id="22" xr3:uid="{A4423EDA-72CD-40A4-8CEB-84584B2848A9}" name="DSK R (€)" dataDxfId="78"/>
    <tableColumn id="23" xr3:uid="{9FA4C8B1-E398-4CB3-AC74-77828F3D4343}" name="DSK R (Backer)" dataDxfId="77"/>
    <tableColumn id="37" xr3:uid="{AE14262B-F3B7-47DF-BAFA-618A863548C2}" name="DSK R (€/B)" dataDxfId="76">
      <calculatedColumnFormula>Tabelle3[[#This Row],[DSK R (€)]]/Tabelle3[[#This Row],[DSK R (Backer)]]</calculatedColumnFormula>
    </tableColumn>
    <tableColumn id="24" xr3:uid="{EAE957AD-26EB-468A-9755-60EC7D72A845}" name="Ära (€)" dataDxfId="75"/>
    <tableColumn id="25" xr3:uid="{C1FC00A5-77F0-4DAB-9F9C-96D4AA018743}" name="Ära (Backer)" dataDxfId="74"/>
    <tableColumn id="46" xr3:uid="{629A9284-AB65-4209-9E8F-7A6AFE825122}" name="Ära (€/B)" dataDxfId="73">
      <calculatedColumnFormula>Tabelle3[[#This Row],[Ära (€)]]/Tabelle3[[#This Row],[Ära (Backer)]]</calculatedColumnFormula>
    </tableColumn>
    <tableColumn id="12" xr3:uid="{EAB919AA-10EC-4095-8D60-91ACA4CD78EA}" name="Mosaik (€)" dataDxfId="72"/>
    <tableColumn id="13" xr3:uid="{B83772FE-8724-4340-A7CF-F84CABFD14EA}" name="Mosaik (Backer)" dataDxfId="71"/>
    <tableColumn id="14" xr3:uid="{DC6325E1-30F4-4455-B2BC-420F17C27294}" name="Mosaik (€/B)" dataDxfId="70">
      <calculatedColumnFormula>Tabelle3[[#This Row],[Mosaik (€)]]/Tabelle3[[#This Row],[Mosaik (Backer)]]</calculatedColumnFormula>
    </tableColumn>
    <tableColumn id="8" xr3:uid="{7E6A6861-F3AF-4053-88ED-79369130690F}" name="DSK ES (€)" dataDxfId="69"/>
    <tableColumn id="9" xr3:uid="{69DB9D6C-1591-458D-96F7-10915AAA1449}" name="DSK ES (Backer)" dataDxfId="68"/>
    <tableColumn id="15" xr3:uid="{E07E3E1C-FEC3-4EA4-81B8-0CFF0EBEDA04}" name="DSK ES (€/B)" dataDxfId="67"/>
    <tableColumn id="16" xr3:uid="{77CE6583-3C33-4590-985E-EE555D99148B}" name="ES (€)" dataDxfId="66"/>
    <tableColumn id="17" xr3:uid="{4DE1CE20-910B-42B7-8BBE-20162E906649}" name="ES (Backer)" dataDxfId="65"/>
    <tableColumn id="44" xr3:uid="{0BEEFA74-08E6-4566-902B-6B0E7EB65CF1}" name="ES (€/B)" dataDxfId="64"/>
    <tableColumn id="45" xr3:uid="{0AB8F6F6-CC8C-47AA-9FAE-2833684A52BB}" name="WF (€)" dataDxfId="63"/>
    <tableColumn id="48" xr3:uid="{AF091027-B9D0-4C53-B98C-B41591294E52}" name="WF(Backer)" dataDxfId="62"/>
    <tableColumn id="49" xr3:uid="{5747D71C-2AC9-4D00-AE70-4A74DEE41E91}" name="WF (€/B)" dataDxfId="61"/>
    <tableColumn id="50" xr3:uid="{ACA5421B-D34E-4F64-BD65-FAE502A019D1}" name="AKM (€)" dataDxfId="60"/>
    <tableColumn id="51" xr3:uid="{2C82394D-9FF9-4548-BF3B-D5118D3AD3B4}" name="AKM(Backer)" dataDxfId="59"/>
    <tableColumn id="52" xr3:uid="{FC55D1F3-B77E-4955-A21C-AAB6F770421E}" name="AKM (€/B)" dataDxfId="58">
      <calculatedColumnFormula>Tabelle3[[#This Row],[AKM (€)]]/Tabelle3[[#This Row],[AKM(Backer)]]</calculatedColumnFormula>
    </tableColumn>
    <tableColumn id="53" xr3:uid="{361EBA96-63F0-468A-8DE6-73C5DE5490CD}" name="Lex (€)" dataDxfId="57"/>
    <tableColumn id="54" xr3:uid="{757AAB17-4EFB-448F-8730-41B7388DDF95}" name="Lex(Backer)" dataDxfId="56"/>
    <tableColumn id="55" xr3:uid="{0BF22EEF-40EF-4C9C-861B-91D4955CFD82}" name="Lex(€/B)" dataDxfId="55">
      <calculatedColumnFormula>Tabelle3[[#This Row],[Lex (€)]]/Tabelle3[[#This Row],[Lex(Backer)]]</calculatedColumnFormula>
    </tableColumn>
    <tableColumn id="56" xr3:uid="{DCFCC0EE-B68C-471B-B1E5-CD5D873CEB93}" name="KA (€)" dataDxfId="54"/>
    <tableColumn id="57" xr3:uid="{E909922A-EB12-436D-82FF-E660D6984D0F}" name="KA (Backer)" dataDxfId="53"/>
    <tableColumn id="58" xr3:uid="{ECDB6976-A52D-45A1-A27F-47FAE468692D}" name="KA (€/B)" dataDxfId="52"/>
    <tableColumn id="38" xr3:uid="{1AF87199-875A-4AB9-9AC0-88E8D7A82669}" name="MAR (€)" dataDxfId="51"/>
    <tableColumn id="39" xr3:uid="{1B706C0D-84D1-42A8-B0AB-701DEC761DD3}" name="MAR (Backer)" dataDxfId="50"/>
    <tableColumn id="47" xr3:uid="{77302F65-6E91-4233-8F2D-21412E5DD1A9}" name="MAR (€/B)" dataDxfId="49">
      <calculatedColumnFormula>Tabelle3[[#This Row],[MAR (€)]]/Tabelle3[[#This Row],[MAR (Backer)]]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gamefound.com/de/projects/ulisses-spiele/maraskan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hinter-dem-schwarzen-auge.de/support" TargetMode="External"/><Relationship Id="rId1" Type="http://schemas.openxmlformats.org/officeDocument/2006/relationships/hyperlink" Target="https://hinter-dem-schwarzen-auge.de/links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@UlissesSpieleTV" TargetMode="External"/><Relationship Id="rId2" Type="http://schemas.openxmlformats.org/officeDocument/2006/relationships/hyperlink" Target="https://youtu.be/YjnL617YBvA" TargetMode="External"/><Relationship Id="rId1" Type="http://schemas.openxmlformats.org/officeDocument/2006/relationships/hyperlink" Target="https://www.youtube.com/watch?v=VBWmbVPELdo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3AF5-52E3-4D7D-8AFC-995B3E896D26}">
  <sheetPr codeName="Tabelle2">
    <tabColor rgb="FF00B0F0"/>
    <pageSetUpPr fitToPage="1"/>
  </sheetPr>
  <dimension ref="A1:CZ174"/>
  <sheetViews>
    <sheetView showGridLines="0" tabSelected="1" zoomScaleNormal="100" workbookViewId="0">
      <pane ySplit="1" topLeftCell="A2" activePane="bottomLeft" state="frozen"/>
      <selection pane="bottomLeft" activeCell="B5" sqref="B5:B17"/>
    </sheetView>
  </sheetViews>
  <sheetFormatPr baseColWidth="10" defaultRowHeight="15" outlineLevelRow="1" outlineLevelCol="2" x14ac:dyDescent="0.3"/>
  <cols>
    <col min="1" max="1" width="1.28515625" style="95" customWidth="1"/>
    <col min="2" max="2" width="18.5703125" style="87" customWidth="1"/>
    <col min="3" max="3" width="3.42578125" style="88" customWidth="1"/>
    <col min="4" max="4" width="87.140625" style="47" customWidth="1"/>
    <col min="5" max="5" width="8.85546875" style="88" bestFit="1" customWidth="1"/>
    <col min="6" max="6" width="56.140625" style="88" customWidth="1"/>
    <col min="7" max="7" width="6.28515625" style="88" customWidth="1"/>
    <col min="8" max="8" width="11.5703125" style="88" customWidth="1"/>
    <col min="9" max="12" width="11.42578125" style="88" customWidth="1"/>
    <col min="13" max="13" width="11.42578125" style="111" customWidth="1"/>
    <col min="14" max="16" width="11.42578125" style="95" customWidth="1"/>
    <col min="17" max="18" width="12.5703125" style="95" customWidth="1"/>
    <col min="19" max="21" width="11.42578125" style="95" customWidth="1"/>
    <col min="22" max="23" width="11.42578125" style="107" customWidth="1"/>
    <col min="24" max="25" width="11.42578125" style="107" hidden="1" customWidth="1" outlineLevel="2"/>
    <col min="26" max="28" width="11.42578125" style="89" hidden="1" customWidth="1" outlineLevel="2"/>
    <col min="29" max="32" width="12.7109375" style="89" hidden="1" customWidth="1" outlineLevel="2"/>
    <col min="33" max="33" width="12.7109375" style="89" hidden="1" customWidth="1" outlineLevel="2" collapsed="1"/>
    <col min="34" max="34" width="16.7109375" style="23" hidden="1" customWidth="1" outlineLevel="1" collapsed="1"/>
    <col min="35" max="35" width="9.85546875" style="23" hidden="1" customWidth="1" outlineLevel="1"/>
    <col min="36" max="36" width="3.140625" style="225" hidden="1" customWidth="1" outlineLevel="1"/>
    <col min="37" max="40" width="11.42578125" style="23" hidden="1" customWidth="1" outlineLevel="1"/>
    <col min="41" max="41" width="13.140625" style="23" hidden="1" customWidth="1" outlineLevel="1"/>
    <col min="42" max="42" width="7.28515625" style="23" hidden="1" customWidth="1" outlineLevel="1"/>
    <col min="43" max="43" width="9.28515625" style="23" hidden="1" customWidth="1" outlineLevel="1"/>
    <col min="44" max="44" width="12.5703125" style="23" hidden="1" customWidth="1" outlineLevel="1"/>
    <col min="45" max="48" width="11.42578125" style="23" hidden="1" customWidth="1" outlineLevel="1"/>
    <col min="49" max="49" width="11.42578125" style="24" hidden="1" customWidth="1" outlineLevel="1"/>
    <col min="50" max="51" width="11.42578125" style="23" hidden="1" customWidth="1" outlineLevel="1"/>
    <col min="52" max="52" width="11.42578125" style="132" hidden="1" customWidth="1" outlineLevel="1"/>
    <col min="53" max="53" width="11.42578125" style="35" hidden="1" customWidth="1" outlineLevel="1"/>
    <col min="54" max="55" width="11.42578125" style="23" hidden="1" customWidth="1" outlineLevel="1"/>
    <col min="56" max="56" width="11.42578125" style="35" hidden="1" customWidth="1" outlineLevel="1"/>
    <col min="57" max="57" width="11.42578125" style="132" hidden="1" customWidth="1" outlineLevel="1"/>
    <col min="58" max="58" width="11.42578125" style="35" hidden="1" customWidth="1" outlineLevel="1"/>
    <col min="59" max="60" width="11.42578125" style="23" hidden="1" customWidth="1" outlineLevel="1"/>
    <col min="61" max="61" width="11.42578125" style="35" hidden="1" customWidth="1" outlineLevel="1"/>
    <col min="62" max="62" width="14" style="23" hidden="1" customWidth="1" outlineLevel="1"/>
    <col min="63" max="65" width="11.42578125" style="28" hidden="1" customWidth="1" outlineLevel="1"/>
    <col min="66" max="66" width="11.42578125" style="23" hidden="1" customWidth="1" outlineLevel="1"/>
    <col min="67" max="69" width="11.42578125" style="28" hidden="1" customWidth="1" outlineLevel="1"/>
    <col min="70" max="70" width="11.42578125" style="95" collapsed="1"/>
    <col min="71" max="102" width="11.42578125" style="95"/>
    <col min="103" max="16384" width="11.42578125" style="47"/>
  </cols>
  <sheetData>
    <row r="1" spans="1:104" s="95" customFormat="1" ht="24.75" thickBot="1" x14ac:dyDescent="0.35">
      <c r="B1" s="902" t="s">
        <v>560</v>
      </c>
      <c r="C1" s="903"/>
      <c r="D1" s="903"/>
      <c r="E1" s="903"/>
      <c r="F1" s="903"/>
      <c r="G1" s="903"/>
      <c r="H1" s="903"/>
      <c r="I1" s="903"/>
      <c r="J1" s="903"/>
      <c r="K1" s="903"/>
      <c r="L1" s="903"/>
      <c r="M1" s="903"/>
      <c r="N1" s="903"/>
      <c r="O1" s="903"/>
      <c r="P1" s="903"/>
      <c r="Q1" s="903"/>
      <c r="R1" s="904"/>
      <c r="S1" s="114"/>
      <c r="T1" s="114"/>
      <c r="U1" s="114"/>
      <c r="V1" s="111"/>
      <c r="W1" s="111"/>
      <c r="X1" s="111"/>
      <c r="Y1" s="420"/>
      <c r="Z1" s="111"/>
      <c r="AA1" s="111"/>
      <c r="AB1" s="111"/>
      <c r="AC1" s="111"/>
      <c r="AD1" s="111"/>
      <c r="AE1" s="111"/>
      <c r="AF1" s="111"/>
      <c r="AG1" s="111"/>
      <c r="AH1" s="199" t="s">
        <v>133</v>
      </c>
      <c r="AI1" s="199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842" t="s">
        <v>64</v>
      </c>
      <c r="AV1" s="842"/>
      <c r="AW1" s="842"/>
      <c r="AX1" s="896" t="s">
        <v>379</v>
      </c>
      <c r="AY1" s="896"/>
      <c r="AZ1" s="896"/>
      <c r="BA1" s="895" t="s">
        <v>380</v>
      </c>
      <c r="BB1" s="895"/>
      <c r="BC1" s="895"/>
      <c r="BD1" s="42"/>
      <c r="BE1" s="150"/>
      <c r="BF1" s="42"/>
      <c r="BG1" s="42"/>
      <c r="BH1" s="42"/>
      <c r="BI1" s="42"/>
      <c r="BJ1" s="42"/>
      <c r="BK1" s="42"/>
      <c r="BL1" s="42"/>
      <c r="BM1" s="28"/>
      <c r="BN1" s="23"/>
      <c r="BO1" s="28"/>
      <c r="BP1" s="28"/>
      <c r="BQ1" s="28"/>
    </row>
    <row r="2" spans="1:104" s="2" customFormat="1" ht="4.5" customHeight="1" thickBot="1" x14ac:dyDescent="0.35">
      <c r="A2" s="101"/>
      <c r="B2" s="95"/>
      <c r="C2" s="111"/>
      <c r="D2" s="95"/>
      <c r="E2" s="111"/>
      <c r="F2" s="111"/>
      <c r="G2" s="111"/>
      <c r="H2" s="111"/>
      <c r="I2" s="111"/>
      <c r="J2" s="111"/>
      <c r="K2" s="111"/>
      <c r="L2" s="109"/>
      <c r="M2" s="111"/>
      <c r="N2" s="95"/>
      <c r="O2" s="95"/>
      <c r="P2" s="95"/>
      <c r="Q2" s="95"/>
      <c r="R2" s="95"/>
      <c r="S2" s="114"/>
      <c r="T2" s="114"/>
      <c r="U2" s="114"/>
      <c r="V2" s="111"/>
      <c r="W2" s="111"/>
      <c r="X2" s="111"/>
      <c r="Y2" s="420"/>
      <c r="Z2" s="111"/>
      <c r="AA2" s="111"/>
      <c r="AB2" s="111"/>
      <c r="AC2" s="111"/>
      <c r="AD2" s="111"/>
      <c r="AE2" s="111"/>
      <c r="AF2" s="111"/>
      <c r="AG2" s="111"/>
      <c r="AH2" s="23"/>
      <c r="AI2" s="23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42"/>
      <c r="AY2" s="54"/>
      <c r="AZ2" s="54"/>
      <c r="BA2" s="54"/>
      <c r="BB2" s="54"/>
      <c r="BC2" s="54"/>
      <c r="BD2" s="42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</row>
    <row r="3" spans="1:104" s="2" customFormat="1" ht="18.75" customHeight="1" thickBot="1" x14ac:dyDescent="0.35">
      <c r="A3" s="101"/>
      <c r="B3" s="95"/>
      <c r="C3" s="111"/>
      <c r="D3" s="183" t="s">
        <v>131</v>
      </c>
      <c r="E3" s="901" t="s">
        <v>230</v>
      </c>
      <c r="F3" s="901"/>
      <c r="G3" s="901"/>
      <c r="H3" s="188"/>
      <c r="I3" s="188"/>
      <c r="J3" s="188"/>
      <c r="K3" s="188"/>
      <c r="L3" s="188"/>
      <c r="M3" s="188"/>
      <c r="N3" s="95"/>
      <c r="O3" s="95"/>
      <c r="P3" s="95"/>
      <c r="Q3" s="95"/>
      <c r="R3" s="95"/>
      <c r="S3" s="114"/>
      <c r="T3" s="114"/>
      <c r="U3" s="114"/>
      <c r="V3" s="111"/>
      <c r="W3" s="111"/>
      <c r="X3" s="111"/>
      <c r="Y3" s="420"/>
      <c r="Z3" s="111"/>
      <c r="AA3" s="111"/>
      <c r="AB3" s="111"/>
      <c r="AC3" s="111"/>
      <c r="AD3" s="111"/>
      <c r="AE3" s="111"/>
      <c r="AF3" s="111"/>
      <c r="AG3" s="111"/>
      <c r="AH3" s="192" t="s">
        <v>319</v>
      </c>
      <c r="AI3" s="554">
        <v>46189</v>
      </c>
      <c r="AJ3" s="54"/>
      <c r="AK3" s="54"/>
      <c r="AL3" s="54"/>
      <c r="AM3" s="54"/>
      <c r="AN3" s="54"/>
      <c r="AO3" s="54"/>
      <c r="AP3" s="54"/>
      <c r="AQ3" s="54"/>
      <c r="AR3" s="54"/>
      <c r="AS3" s="23"/>
      <c r="AT3" s="638" t="s">
        <v>24</v>
      </c>
      <c r="AU3" s="639" t="s">
        <v>11</v>
      </c>
      <c r="AV3" s="640" t="s">
        <v>10</v>
      </c>
      <c r="AW3" s="641" t="s">
        <v>34</v>
      </c>
      <c r="AX3" s="633" t="s">
        <v>381</v>
      </c>
      <c r="AY3" s="634" t="s">
        <v>382</v>
      </c>
      <c r="AZ3" s="635" t="s">
        <v>383</v>
      </c>
      <c r="BA3" s="636" t="s">
        <v>384</v>
      </c>
      <c r="BB3" s="637" t="s">
        <v>385</v>
      </c>
      <c r="BC3" s="637" t="s">
        <v>386</v>
      </c>
      <c r="BD3" s="42"/>
      <c r="BE3" s="42"/>
      <c r="BF3" s="42"/>
      <c r="BG3" s="150"/>
      <c r="BH3" s="150"/>
      <c r="BI3" s="42"/>
      <c r="BJ3" s="42"/>
      <c r="BK3" s="54"/>
      <c r="BL3" s="54"/>
      <c r="BM3" s="54"/>
      <c r="BN3" s="54"/>
      <c r="BO3" s="54"/>
      <c r="BP3" s="54"/>
      <c r="BQ3" s="54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</row>
    <row r="4" spans="1:104" s="2" customFormat="1" ht="18.75" customHeight="1" thickBot="1" x14ac:dyDescent="0.35">
      <c r="A4" s="101"/>
      <c r="B4" s="95"/>
      <c r="C4" s="111"/>
      <c r="D4" s="95"/>
      <c r="E4" s="111"/>
      <c r="F4" s="111"/>
      <c r="G4" s="111"/>
      <c r="H4" s="905" t="s">
        <v>415</v>
      </c>
      <c r="I4" s="906"/>
      <c r="J4" s="906"/>
      <c r="K4" s="906"/>
      <c r="L4" s="906"/>
      <c r="M4" s="906"/>
      <c r="N4" s="906"/>
      <c r="O4" s="906"/>
      <c r="P4" s="906"/>
      <c r="Q4" s="906"/>
      <c r="R4" s="907"/>
      <c r="S4" s="114"/>
      <c r="T4" s="114"/>
      <c r="U4" s="114"/>
      <c r="V4" s="111"/>
      <c r="W4" s="111"/>
      <c r="X4" s="111"/>
      <c r="Y4" s="420"/>
      <c r="Z4" s="111"/>
      <c r="AA4" s="111"/>
      <c r="AB4" s="111"/>
      <c r="AC4" s="111"/>
      <c r="AD4" s="111"/>
      <c r="AE4" s="111"/>
      <c r="AF4" s="111"/>
      <c r="AG4" s="111"/>
      <c r="AH4" s="191" t="s">
        <v>24</v>
      </c>
      <c r="AI4" s="756">
        <f>IF(AK6&lt;0.75,AI5-AI3,AI5-AI3+1)</f>
        <v>22</v>
      </c>
      <c r="AJ4" s="54"/>
      <c r="AK4" s="54"/>
      <c r="AL4" s="54"/>
      <c r="AM4" s="54"/>
      <c r="AN4" s="54"/>
      <c r="AO4" s="54"/>
      <c r="AP4" s="54"/>
      <c r="AQ4" s="54"/>
      <c r="AR4" s="54"/>
      <c r="AS4" s="70" t="s">
        <v>14</v>
      </c>
      <c r="AT4" s="618">
        <v>1</v>
      </c>
      <c r="AU4" s="624">
        <f t="shared" ref="AU4:AU24" si="0">VLOOKUP(AT4,$AK$57:$AU$77,11,FALSE)</f>
        <v>136568</v>
      </c>
      <c r="AV4" s="456">
        <f t="shared" ref="AV4:AV24" si="1">VLOOKUP(AT4,$AK$57:$AT$77,10,FALSE)</f>
        <v>723</v>
      </c>
      <c r="AW4" s="625">
        <f>IFERROR(Tabelle24[[#This Row],[€]]/Tabelle24[[#This Row],[Backer]],"")</f>
        <v>188.89073305670817</v>
      </c>
      <c r="AX4" s="622">
        <f t="shared" ref="AX4:AX24" si="2">VLOOKUP(AT4,$AK$57:$BI$77,20,FALSE)</f>
        <v>136568</v>
      </c>
      <c r="AY4" s="31">
        <f t="shared" ref="AY4:AY24" si="3">VLOOKUP(AT4,$AK$57:$BI$77,18,FALSE)</f>
        <v>723</v>
      </c>
      <c r="AZ4" s="623">
        <f>IFERROR(Tabelle24[[#This Row],[€ Min.]]/Tabelle24[[#This Row],[Backer Min.]],"")</f>
        <v>188.89073305670817</v>
      </c>
      <c r="BA4" s="620">
        <f t="shared" ref="BA4:BA24" si="4">VLOOKUP(AT4,$AK$57:$BI$77,25,FALSE)</f>
        <v>136568</v>
      </c>
      <c r="BB4" s="31">
        <f t="shared" ref="BB4:BB24" si="5">VLOOKUP(AT4,$AK$57:$BI$77,23,FALSE)</f>
        <v>723</v>
      </c>
      <c r="BC4" s="455">
        <f>IFERROR(Tabelle24[[#This Row],[€ Max.]]/Tabelle24[[#This Row],[Backer Max.]],"")</f>
        <v>188.89073305670817</v>
      </c>
      <c r="BD4" s="42"/>
      <c r="BE4" s="42"/>
      <c r="BF4" s="42"/>
      <c r="BG4" s="150"/>
      <c r="BH4" s="150"/>
      <c r="BI4" s="42"/>
      <c r="BJ4" s="42"/>
      <c r="BK4" s="54"/>
      <c r="BL4" s="54"/>
      <c r="BM4" s="54"/>
      <c r="BN4" s="54"/>
      <c r="BO4" s="54"/>
      <c r="BP4" s="54"/>
      <c r="BQ4" s="54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</row>
    <row r="5" spans="1:104" s="2" customFormat="1" ht="18.75" customHeight="1" x14ac:dyDescent="0.3">
      <c r="A5" s="101"/>
      <c r="B5" s="855" t="s">
        <v>130</v>
      </c>
      <c r="C5" s="185"/>
      <c r="D5" s="181"/>
      <c r="E5" s="185"/>
      <c r="F5" s="181"/>
      <c r="G5" s="111"/>
      <c r="H5" s="908"/>
      <c r="I5" s="909"/>
      <c r="J5" s="909"/>
      <c r="K5" s="909"/>
      <c r="L5" s="909"/>
      <c r="M5" s="909"/>
      <c r="N5" s="909"/>
      <c r="O5" s="909"/>
      <c r="P5" s="909"/>
      <c r="Q5" s="909"/>
      <c r="R5" s="910"/>
      <c r="S5" s="114"/>
      <c r="T5" s="114"/>
      <c r="U5" s="114"/>
      <c r="V5" s="111"/>
      <c r="W5" s="111"/>
      <c r="X5" s="111"/>
      <c r="Y5" s="420"/>
      <c r="Z5" s="111"/>
      <c r="AA5" s="111"/>
      <c r="AB5" s="111"/>
      <c r="AC5" s="111"/>
      <c r="AD5" s="111"/>
      <c r="AE5" s="111"/>
      <c r="AF5" s="111"/>
      <c r="AG5" s="111"/>
      <c r="AH5" s="192" t="s">
        <v>320</v>
      </c>
      <c r="AI5" s="609">
        <v>46210</v>
      </c>
      <c r="AJ5" s="23"/>
      <c r="AK5" s="23"/>
      <c r="AL5" s="23"/>
      <c r="AM5" s="23"/>
      <c r="AN5" s="23"/>
      <c r="AO5" s="23"/>
      <c r="AP5" s="23"/>
      <c r="AQ5" s="23"/>
      <c r="AR5" s="23"/>
      <c r="AS5" s="85" t="s">
        <v>15</v>
      </c>
      <c r="AT5" s="619">
        <v>21</v>
      </c>
      <c r="AU5" s="626">
        <f t="shared" si="0"/>
        <v>29881.159999999974</v>
      </c>
      <c r="AV5" s="37">
        <f t="shared" si="1"/>
        <v>163</v>
      </c>
      <c r="AW5" s="627">
        <f>IFERROR(Tabelle24[[#This Row],[€]]/Tabelle24[[#This Row],[Backer]],"")</f>
        <v>183.31999999999985</v>
      </c>
      <c r="AX5" s="626">
        <f t="shared" si="2"/>
        <v>29881.159999999974</v>
      </c>
      <c r="AY5" s="37">
        <f t="shared" si="3"/>
        <v>163</v>
      </c>
      <c r="AZ5" s="627">
        <f>IFERROR(Tabelle24[[#This Row],[€ Min.]]/Tabelle24[[#This Row],[Backer Min.]],"")</f>
        <v>183.31999999999985</v>
      </c>
      <c r="BA5" s="621">
        <f t="shared" si="4"/>
        <v>29881.159999999974</v>
      </c>
      <c r="BB5" s="37">
        <f t="shared" si="5"/>
        <v>163</v>
      </c>
      <c r="BC5" s="197">
        <f>IFERROR(Tabelle24[[#This Row],[€ Max.]]/Tabelle24[[#This Row],[Backer Max.]],"")</f>
        <v>183.31999999999985</v>
      </c>
      <c r="BD5" s="42"/>
      <c r="BE5" s="42"/>
      <c r="BF5" s="42"/>
      <c r="BG5" s="150"/>
      <c r="BH5" s="150"/>
      <c r="BI5" s="42"/>
      <c r="BJ5" s="42"/>
      <c r="BK5" s="23"/>
      <c r="BL5" s="23"/>
      <c r="BM5" s="23"/>
      <c r="BN5" s="23"/>
      <c r="BO5" s="23"/>
      <c r="BP5" s="23"/>
      <c r="BQ5" s="23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</row>
    <row r="6" spans="1:104" s="2" customFormat="1" ht="18.75" customHeight="1" thickBot="1" x14ac:dyDescent="0.3">
      <c r="A6" s="101"/>
      <c r="B6" s="856"/>
      <c r="C6" s="111"/>
      <c r="D6" s="95"/>
      <c r="E6" s="111"/>
      <c r="F6" s="111"/>
      <c r="G6" s="111"/>
      <c r="H6" s="908"/>
      <c r="I6" s="909"/>
      <c r="J6" s="909"/>
      <c r="K6" s="909"/>
      <c r="L6" s="909"/>
      <c r="M6" s="909"/>
      <c r="N6" s="909"/>
      <c r="O6" s="909"/>
      <c r="P6" s="909"/>
      <c r="Q6" s="909"/>
      <c r="R6" s="910"/>
      <c r="S6" s="114"/>
      <c r="T6" s="114"/>
      <c r="U6" s="114"/>
      <c r="V6" s="111"/>
      <c r="W6" s="111"/>
      <c r="X6" s="111"/>
      <c r="Y6" s="420"/>
      <c r="Z6" s="111"/>
      <c r="AA6" s="111"/>
      <c r="AB6" s="111"/>
      <c r="AC6" s="111"/>
      <c r="AD6" s="111"/>
      <c r="AE6" s="111"/>
      <c r="AF6" s="111"/>
      <c r="AG6" s="111"/>
      <c r="AH6" s="192" t="s">
        <v>27</v>
      </c>
      <c r="AI6" s="688" t="str">
        <f>TEXT(AK6,"hh:mm")</f>
        <v>18:00</v>
      </c>
      <c r="AJ6" s="23"/>
      <c r="AK6" s="632">
        <v>0.75</v>
      </c>
      <c r="AL6" s="23"/>
      <c r="AM6" s="23"/>
      <c r="AN6" s="23"/>
      <c r="AO6" s="23"/>
      <c r="AP6" s="23"/>
      <c r="AQ6" s="23"/>
      <c r="AR6" s="23"/>
      <c r="AS6" s="70" t="s">
        <v>17</v>
      </c>
      <c r="AT6" s="618">
        <v>2</v>
      </c>
      <c r="AU6" s="624">
        <f t="shared" si="0"/>
        <v>19056</v>
      </c>
      <c r="AV6" s="456">
        <f t="shared" si="1"/>
        <v>104</v>
      </c>
      <c r="AW6" s="625">
        <f>IFERROR(Tabelle24[[#This Row],[€]]/Tabelle24[[#This Row],[Backer]],"")</f>
        <v>183.23076923076923</v>
      </c>
      <c r="AX6" s="622">
        <f t="shared" si="2"/>
        <v>19056</v>
      </c>
      <c r="AY6" s="31">
        <f t="shared" si="3"/>
        <v>104</v>
      </c>
      <c r="AZ6" s="623">
        <f>IFERROR(Tabelle24[[#This Row],[€ Min.]]/Tabelle24[[#This Row],[Backer Min.]],"")</f>
        <v>183.23076923076923</v>
      </c>
      <c r="BA6" s="620">
        <f t="shared" si="4"/>
        <v>19056</v>
      </c>
      <c r="BB6" s="31">
        <f t="shared" si="5"/>
        <v>104</v>
      </c>
      <c r="BC6" s="455">
        <f>IFERROR(Tabelle24[[#This Row],[€ Max.]]/Tabelle24[[#This Row],[Backer Max.]],"")</f>
        <v>183.23076923076923</v>
      </c>
      <c r="BD6" s="42"/>
      <c r="BE6" s="42"/>
      <c r="BF6" s="42"/>
      <c r="BG6" s="150"/>
      <c r="BH6" s="150"/>
      <c r="BI6" s="42"/>
      <c r="BJ6" s="42"/>
      <c r="BK6" s="23"/>
      <c r="BL6" s="23"/>
      <c r="BM6" s="23"/>
      <c r="BN6" s="23"/>
      <c r="BO6" s="23"/>
      <c r="BP6" s="23"/>
      <c r="BQ6" s="23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</row>
    <row r="7" spans="1:104" s="2" customFormat="1" ht="18.75" customHeight="1" thickBot="1" x14ac:dyDescent="0.3">
      <c r="A7" s="101"/>
      <c r="B7" s="856"/>
      <c r="C7" s="111"/>
      <c r="D7" s="95"/>
      <c r="E7" s="111"/>
      <c r="F7" s="111"/>
      <c r="G7" s="111"/>
      <c r="H7" s="908"/>
      <c r="I7" s="909"/>
      <c r="J7" s="909"/>
      <c r="K7" s="909"/>
      <c r="L7" s="909"/>
      <c r="M7" s="909"/>
      <c r="N7" s="909"/>
      <c r="O7" s="909"/>
      <c r="P7" s="909"/>
      <c r="Q7" s="909"/>
      <c r="R7" s="910"/>
      <c r="S7" s="114"/>
      <c r="T7" s="114"/>
      <c r="U7" s="114"/>
      <c r="V7" s="111"/>
      <c r="W7" s="111"/>
      <c r="X7" s="111"/>
      <c r="Y7" s="420"/>
      <c r="Z7" s="111"/>
      <c r="AA7" s="111"/>
      <c r="AB7" s="111"/>
      <c r="AC7" s="111"/>
      <c r="AD7" s="111"/>
      <c r="AE7" s="111"/>
      <c r="AF7" s="111"/>
      <c r="AG7" s="111"/>
      <c r="AH7" s="192" t="s">
        <v>12</v>
      </c>
      <c r="AI7" s="475">
        <f>INDEX($I$16:$I$51,MATCH($AI$8,O16:O51,1),1)</f>
        <v>22</v>
      </c>
      <c r="AJ7" s="23"/>
      <c r="AK7" s="23"/>
      <c r="AL7" s="23"/>
      <c r="AM7" s="23"/>
      <c r="AN7" s="23"/>
      <c r="AO7" s="23"/>
      <c r="AP7" s="23"/>
      <c r="AQ7" s="23"/>
      <c r="AR7" s="23"/>
      <c r="AS7" s="70" t="s">
        <v>46</v>
      </c>
      <c r="AT7" s="619">
        <v>20</v>
      </c>
      <c r="AU7" s="626">
        <f t="shared" si="0"/>
        <v>16584</v>
      </c>
      <c r="AV7" s="37">
        <f t="shared" si="1"/>
        <v>91</v>
      </c>
      <c r="AW7" s="627">
        <f>IFERROR(Tabelle24[[#This Row],[€]]/Tabelle24[[#This Row],[Backer]],"")</f>
        <v>182.24175824175825</v>
      </c>
      <c r="AX7" s="626">
        <f t="shared" si="2"/>
        <v>16584</v>
      </c>
      <c r="AY7" s="37">
        <f t="shared" si="3"/>
        <v>91</v>
      </c>
      <c r="AZ7" s="627">
        <f>IFERROR(Tabelle24[[#This Row],[€ Min.]]/Tabelle24[[#This Row],[Backer Min.]],"")</f>
        <v>182.24175824175825</v>
      </c>
      <c r="BA7" s="621">
        <f t="shared" si="4"/>
        <v>16584</v>
      </c>
      <c r="BB7" s="37">
        <f t="shared" si="5"/>
        <v>91</v>
      </c>
      <c r="BC7" s="197">
        <f>IFERROR(Tabelle24[[#This Row],[€ Max.]]/Tabelle24[[#This Row],[Backer Max.]],"")</f>
        <v>182.24175824175825</v>
      </c>
      <c r="BD7" s="42"/>
      <c r="BE7" s="42"/>
      <c r="BF7" s="42"/>
      <c r="BG7" s="150"/>
      <c r="BH7" s="150"/>
      <c r="BI7" s="42"/>
      <c r="BJ7" s="42"/>
      <c r="BK7" s="23"/>
      <c r="BL7" s="23"/>
      <c r="BM7" s="23"/>
      <c r="BN7" s="23"/>
      <c r="BO7" s="23"/>
      <c r="BP7" s="23"/>
      <c r="BQ7" s="23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</row>
    <row r="8" spans="1:104" s="2" customFormat="1" ht="18.75" customHeight="1" thickBot="1" x14ac:dyDescent="0.3">
      <c r="A8" s="101"/>
      <c r="B8" s="856"/>
      <c r="C8" s="111"/>
      <c r="D8" s="95"/>
      <c r="E8" s="111"/>
      <c r="F8" s="111"/>
      <c r="G8" s="111"/>
      <c r="H8" s="908"/>
      <c r="I8" s="909"/>
      <c r="J8" s="909"/>
      <c r="K8" s="909"/>
      <c r="L8" s="909"/>
      <c r="M8" s="909"/>
      <c r="N8" s="909"/>
      <c r="O8" s="909"/>
      <c r="P8" s="909"/>
      <c r="Q8" s="909"/>
      <c r="R8" s="910"/>
      <c r="S8" s="114"/>
      <c r="T8" s="114"/>
      <c r="U8" s="114"/>
      <c r="V8" s="111"/>
      <c r="W8" s="111"/>
      <c r="X8" s="111"/>
      <c r="Y8" s="420"/>
      <c r="Z8" s="111"/>
      <c r="AA8" s="111"/>
      <c r="AB8" s="111"/>
      <c r="AC8" s="111"/>
      <c r="AD8" s="111"/>
      <c r="AE8" s="111"/>
      <c r="AF8" s="111"/>
      <c r="AG8" s="111"/>
      <c r="AH8" s="192" t="s">
        <v>11</v>
      </c>
      <c r="AI8" s="539">
        <f>AR77</f>
        <v>331726.15999999997</v>
      </c>
      <c r="AJ8" s="23"/>
      <c r="AK8" s="35">
        <f>SUM(AK16:AK25)</f>
        <v>175378</v>
      </c>
      <c r="AL8" s="782">
        <f>AK8/AI8</f>
        <v>0.52868305592781717</v>
      </c>
      <c r="AM8" s="23"/>
      <c r="AN8" s="23"/>
      <c r="AO8" s="23"/>
      <c r="AP8" s="23"/>
      <c r="AQ8" s="23"/>
      <c r="AR8" s="23"/>
      <c r="AS8" s="85" t="s">
        <v>16</v>
      </c>
      <c r="AT8" s="618">
        <v>3</v>
      </c>
      <c r="AU8" s="624">
        <f t="shared" si="0"/>
        <v>14100</v>
      </c>
      <c r="AV8" s="456">
        <f t="shared" si="1"/>
        <v>60</v>
      </c>
      <c r="AW8" s="625">
        <f>IFERROR(Tabelle24[[#This Row],[€]]/Tabelle24[[#This Row],[Backer]],"")</f>
        <v>235</v>
      </c>
      <c r="AX8" s="622">
        <f t="shared" si="2"/>
        <v>14100</v>
      </c>
      <c r="AY8" s="31">
        <f t="shared" si="3"/>
        <v>60</v>
      </c>
      <c r="AZ8" s="623">
        <f>IFERROR(Tabelle24[[#This Row],[€ Min.]]/Tabelle24[[#This Row],[Backer Min.]],"")</f>
        <v>235</v>
      </c>
      <c r="BA8" s="620">
        <f t="shared" si="4"/>
        <v>14100</v>
      </c>
      <c r="BB8" s="31">
        <f t="shared" si="5"/>
        <v>60</v>
      </c>
      <c r="BC8" s="455">
        <f>IFERROR(Tabelle24[[#This Row],[€ Max.]]/Tabelle24[[#This Row],[Backer Max.]],"")</f>
        <v>235</v>
      </c>
      <c r="BD8" s="42"/>
      <c r="BE8" s="42"/>
      <c r="BF8" s="42"/>
      <c r="BG8" s="150"/>
      <c r="BH8" s="150"/>
      <c r="BI8" s="42"/>
      <c r="BJ8" s="42"/>
      <c r="BK8" s="23"/>
      <c r="BL8" s="23"/>
      <c r="BM8" s="23"/>
      <c r="BN8" s="23"/>
      <c r="BO8" s="23"/>
      <c r="BP8" s="23"/>
      <c r="BQ8" s="23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</row>
    <row r="9" spans="1:104" s="2" customFormat="1" ht="18.75" customHeight="1" thickBot="1" x14ac:dyDescent="0.3">
      <c r="A9" s="101"/>
      <c r="B9" s="856"/>
      <c r="C9" s="111"/>
      <c r="D9" s="95"/>
      <c r="E9" s="111"/>
      <c r="F9" s="111"/>
      <c r="G9" s="111"/>
      <c r="H9" s="911"/>
      <c r="I9" s="912"/>
      <c r="J9" s="912"/>
      <c r="K9" s="912"/>
      <c r="L9" s="912"/>
      <c r="M9" s="912"/>
      <c r="N9" s="912"/>
      <c r="O9" s="912"/>
      <c r="P9" s="912"/>
      <c r="Q9" s="912"/>
      <c r="R9" s="913"/>
      <c r="S9" s="114"/>
      <c r="T9" s="114"/>
      <c r="U9" s="114"/>
      <c r="V9" s="111"/>
      <c r="W9" s="111"/>
      <c r="X9" s="111"/>
      <c r="Y9" s="420"/>
      <c r="Z9" s="111"/>
      <c r="AA9" s="111"/>
      <c r="AB9" s="111"/>
      <c r="AC9" s="111"/>
      <c r="AD9" s="111"/>
      <c r="AE9" s="111"/>
      <c r="AF9" s="111"/>
      <c r="AG9" s="111"/>
      <c r="AH9" s="193" t="s">
        <v>13</v>
      </c>
      <c r="AI9" s="540">
        <f>INDEX($O$16:$O$51,MATCH($AI$7,$I$16:$I$51,1)+1,1)</f>
        <v>0</v>
      </c>
      <c r="AJ9" s="23"/>
      <c r="AK9" s="23"/>
      <c r="AL9" s="23"/>
      <c r="AM9" s="23"/>
      <c r="AN9" s="23"/>
      <c r="AO9" s="23"/>
      <c r="AP9" s="23"/>
      <c r="AQ9" s="23"/>
      <c r="AR9" s="23"/>
      <c r="AS9" s="70" t="s">
        <v>47</v>
      </c>
      <c r="AT9" s="618">
        <v>9</v>
      </c>
      <c r="AU9" s="622">
        <f t="shared" si="0"/>
        <v>10516</v>
      </c>
      <c r="AV9" s="31">
        <f t="shared" si="1"/>
        <v>65</v>
      </c>
      <c r="AW9" s="623">
        <f>IFERROR(Tabelle24[[#This Row],[€]]/Tabelle24[[#This Row],[Backer]],"")</f>
        <v>161.78461538461539</v>
      </c>
      <c r="AX9" s="622">
        <f t="shared" si="2"/>
        <v>10516</v>
      </c>
      <c r="AY9" s="31">
        <f t="shared" si="3"/>
        <v>65</v>
      </c>
      <c r="AZ9" s="623">
        <f>IFERROR(Tabelle24[[#This Row],[€ Min.]]/Tabelle24[[#This Row],[Backer Min.]],"")</f>
        <v>161.78461538461539</v>
      </c>
      <c r="BA9" s="620">
        <f t="shared" si="4"/>
        <v>10516</v>
      </c>
      <c r="BB9" s="31">
        <f t="shared" si="5"/>
        <v>65</v>
      </c>
      <c r="BC9" s="455">
        <f>IFERROR(Tabelle24[[#This Row],[€ Max.]]/Tabelle24[[#This Row],[Backer Max.]],"")</f>
        <v>161.78461538461539</v>
      </c>
      <c r="BD9" s="42"/>
      <c r="BE9" s="42"/>
      <c r="BF9" s="42"/>
      <c r="BG9" s="150"/>
      <c r="BH9" s="150"/>
      <c r="BI9" s="42"/>
      <c r="BJ9" s="42"/>
      <c r="BK9" s="23"/>
      <c r="BL9" s="23"/>
      <c r="BM9" s="23"/>
      <c r="BN9" s="23"/>
      <c r="BO9" s="23"/>
      <c r="BP9" s="23"/>
      <c r="BQ9" s="23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</row>
    <row r="10" spans="1:104" s="2" customFormat="1" ht="18.75" customHeight="1" thickBot="1" x14ac:dyDescent="0.3">
      <c r="A10" s="101"/>
      <c r="B10" s="856"/>
      <c r="C10" s="111"/>
      <c r="D10" s="95"/>
      <c r="E10" s="111"/>
      <c r="F10" s="111"/>
      <c r="G10" s="111"/>
      <c r="H10" s="111"/>
      <c r="I10" s="111"/>
      <c r="J10" s="111"/>
      <c r="K10" s="111"/>
      <c r="L10" s="111"/>
      <c r="M10" s="111"/>
      <c r="N10" s="421"/>
      <c r="O10" s="421"/>
      <c r="P10" s="421"/>
      <c r="Q10" s="421"/>
      <c r="R10" s="421"/>
      <c r="S10" s="114"/>
      <c r="T10" s="114"/>
      <c r="U10" s="114"/>
      <c r="V10" s="111"/>
      <c r="W10" s="111"/>
      <c r="X10" s="111"/>
      <c r="Y10" s="420"/>
      <c r="Z10" s="111"/>
      <c r="AA10" s="111"/>
      <c r="AB10" s="111"/>
      <c r="AC10" s="111"/>
      <c r="AD10" s="111"/>
      <c r="AE10" s="111"/>
      <c r="AF10" s="111"/>
      <c r="AG10" s="111"/>
      <c r="AH10" s="192" t="s">
        <v>10</v>
      </c>
      <c r="AI10" s="32">
        <f>AS77</f>
        <v>1770</v>
      </c>
      <c r="AJ10" s="23"/>
      <c r="AK10" s="23"/>
      <c r="AL10" s="23"/>
      <c r="AM10" s="23"/>
      <c r="AN10" s="23"/>
      <c r="AO10" s="23"/>
      <c r="AP10" s="23"/>
      <c r="AQ10" s="23"/>
      <c r="AR10" s="23"/>
      <c r="AS10" s="70" t="s">
        <v>18</v>
      </c>
      <c r="AT10" s="618">
        <v>15</v>
      </c>
      <c r="AU10" s="622">
        <f t="shared" si="0"/>
        <v>10388</v>
      </c>
      <c r="AV10" s="31">
        <f t="shared" si="1"/>
        <v>62</v>
      </c>
      <c r="AW10" s="623">
        <f>IFERROR(Tabelle24[[#This Row],[€]]/Tabelle24[[#This Row],[Backer]],"")</f>
        <v>167.54838709677421</v>
      </c>
      <c r="AX10" s="622">
        <f t="shared" si="2"/>
        <v>10388</v>
      </c>
      <c r="AY10" s="31">
        <f t="shared" si="3"/>
        <v>62</v>
      </c>
      <c r="AZ10" s="623">
        <f>IFERROR(Tabelle24[[#This Row],[€ Min.]]/Tabelle24[[#This Row],[Backer Min.]],"")</f>
        <v>167.54838709677421</v>
      </c>
      <c r="BA10" s="620">
        <f t="shared" si="4"/>
        <v>10388</v>
      </c>
      <c r="BB10" s="31">
        <f t="shared" si="5"/>
        <v>62</v>
      </c>
      <c r="BC10" s="455">
        <f>IFERROR(Tabelle24[[#This Row],[€ Max.]]/Tabelle24[[#This Row],[Backer Max.]],"")</f>
        <v>167.54838709677421</v>
      </c>
      <c r="BD10" s="42"/>
      <c r="BE10" s="42"/>
      <c r="BF10" s="42"/>
      <c r="BG10" s="150"/>
      <c r="BH10" s="150"/>
      <c r="BI10" s="42"/>
      <c r="BJ10" s="42"/>
      <c r="BK10" s="23"/>
      <c r="BL10" s="23"/>
      <c r="BM10" s="23"/>
      <c r="BN10" s="23"/>
      <c r="BO10" s="23"/>
      <c r="BP10" s="23"/>
      <c r="BQ10" s="23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</row>
    <row r="11" spans="1:104" s="2" customFormat="1" ht="18.75" customHeight="1" x14ac:dyDescent="0.3">
      <c r="A11" s="101"/>
      <c r="B11" s="856"/>
      <c r="C11" s="111"/>
      <c r="D11" s="95"/>
      <c r="E11" s="111"/>
      <c r="F11" s="111"/>
      <c r="G11" s="111"/>
      <c r="H11" s="914" t="s">
        <v>102</v>
      </c>
      <c r="I11" s="915"/>
      <c r="J11" s="915"/>
      <c r="K11" s="915"/>
      <c r="L11" s="915"/>
      <c r="M11" s="915"/>
      <c r="N11" s="915"/>
      <c r="O11" s="915"/>
      <c r="P11" s="915"/>
      <c r="Q11" s="915"/>
      <c r="R11" s="916"/>
      <c r="S11" s="114"/>
      <c r="T11" s="114"/>
      <c r="U11" s="114"/>
      <c r="V11" s="111"/>
      <c r="W11" s="111"/>
      <c r="X11" s="111"/>
      <c r="Y11" s="420"/>
      <c r="Z11" s="111"/>
      <c r="AA11" s="111"/>
      <c r="AB11" s="111"/>
      <c r="AC11" s="111"/>
      <c r="AD11" s="111"/>
      <c r="AE11" s="111"/>
      <c r="AF11" s="111"/>
      <c r="AG11" s="111"/>
      <c r="AH11" s="192" t="s">
        <v>66</v>
      </c>
      <c r="AI11" s="34">
        <f>AI8/AI10</f>
        <v>187.41590960451975</v>
      </c>
      <c r="AJ11" s="23"/>
      <c r="AK11" s="23"/>
      <c r="AL11" s="23"/>
      <c r="AM11" s="23"/>
      <c r="AN11" s="23"/>
      <c r="AO11" s="23"/>
      <c r="AP11" s="23"/>
      <c r="AQ11" s="23"/>
      <c r="AR11" s="23"/>
      <c r="AS11" s="85" t="s">
        <v>48</v>
      </c>
      <c r="AT11" s="618">
        <v>4</v>
      </c>
      <c r="AU11" s="622">
        <f t="shared" si="0"/>
        <v>10200</v>
      </c>
      <c r="AV11" s="31">
        <f t="shared" si="1"/>
        <v>51</v>
      </c>
      <c r="AW11" s="623">
        <f>IFERROR(Tabelle24[[#This Row],[€]]/Tabelle24[[#This Row],[Backer]],"")</f>
        <v>200</v>
      </c>
      <c r="AX11" s="622">
        <f t="shared" si="2"/>
        <v>10200</v>
      </c>
      <c r="AY11" s="31">
        <f t="shared" si="3"/>
        <v>51</v>
      </c>
      <c r="AZ11" s="623">
        <f>IFERROR(Tabelle24[[#This Row],[€ Min.]]/Tabelle24[[#This Row],[Backer Min.]],"")</f>
        <v>200</v>
      </c>
      <c r="BA11" s="620">
        <f t="shared" si="4"/>
        <v>10200</v>
      </c>
      <c r="BB11" s="31">
        <f t="shared" si="5"/>
        <v>51</v>
      </c>
      <c r="BC11" s="455">
        <f>IFERROR(Tabelle24[[#This Row],[€ Max.]]/Tabelle24[[#This Row],[Backer Max.]],"")</f>
        <v>200</v>
      </c>
      <c r="BD11" s="42"/>
      <c r="BE11" s="42"/>
      <c r="BF11" s="42"/>
      <c r="BG11" s="150"/>
      <c r="BH11" s="150"/>
      <c r="BI11" s="42"/>
      <c r="BJ11" s="42"/>
      <c r="BK11" s="23"/>
      <c r="BL11" s="23"/>
      <c r="BM11" s="23"/>
      <c r="BN11" s="23"/>
      <c r="BO11" s="23"/>
      <c r="BP11" s="23"/>
      <c r="BQ11" s="23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</row>
    <row r="12" spans="1:104" s="2" customFormat="1" ht="18.75" customHeight="1" thickBot="1" x14ac:dyDescent="0.35">
      <c r="A12" s="101"/>
      <c r="B12" s="856"/>
      <c r="C12" s="111"/>
      <c r="D12" s="95"/>
      <c r="E12" s="111"/>
      <c r="F12" s="111"/>
      <c r="G12" s="111"/>
      <c r="H12" s="917" t="s">
        <v>103</v>
      </c>
      <c r="I12" s="918"/>
      <c r="J12" s="918"/>
      <c r="K12" s="918"/>
      <c r="L12" s="918"/>
      <c r="M12" s="918"/>
      <c r="N12" s="918"/>
      <c r="O12" s="918"/>
      <c r="P12" s="918"/>
      <c r="Q12" s="918"/>
      <c r="R12" s="919"/>
      <c r="S12" s="114"/>
      <c r="T12" s="114"/>
      <c r="U12" s="114"/>
      <c r="V12" s="111"/>
      <c r="W12" s="111"/>
      <c r="X12" s="111"/>
      <c r="Y12" s="420"/>
      <c r="Z12" s="111"/>
      <c r="AA12" s="111"/>
      <c r="AB12" s="111"/>
      <c r="AC12" s="111"/>
      <c r="AD12" s="111"/>
      <c r="AE12" s="111"/>
      <c r="AF12" s="111"/>
      <c r="AG12" s="111"/>
      <c r="AH12" s="191" t="s">
        <v>45</v>
      </c>
      <c r="AI12" s="39">
        <f>SUM(Einkaufsführer!$K$5:$T$5)</f>
        <v>0</v>
      </c>
      <c r="AJ12" s="23"/>
      <c r="AK12" s="23"/>
      <c r="AL12" s="23"/>
      <c r="AM12" s="23"/>
      <c r="AN12" s="23"/>
      <c r="AO12" s="23"/>
      <c r="AP12" s="23"/>
      <c r="AQ12" s="23"/>
      <c r="AR12" s="23"/>
      <c r="AS12" s="70" t="s">
        <v>20</v>
      </c>
      <c r="AT12" s="618">
        <v>14</v>
      </c>
      <c r="AU12" s="622">
        <f t="shared" si="0"/>
        <v>9058</v>
      </c>
      <c r="AV12" s="31">
        <f t="shared" si="1"/>
        <v>47</v>
      </c>
      <c r="AW12" s="623">
        <f>IFERROR(Tabelle24[[#This Row],[€]]/Tabelle24[[#This Row],[Backer]],"")</f>
        <v>192.72340425531914</v>
      </c>
      <c r="AX12" s="622">
        <f t="shared" si="2"/>
        <v>9058</v>
      </c>
      <c r="AY12" s="31">
        <f t="shared" si="3"/>
        <v>47</v>
      </c>
      <c r="AZ12" s="623">
        <f>IFERROR(Tabelle24[[#This Row],[€ Min.]]/Tabelle24[[#This Row],[Backer Min.]],"")</f>
        <v>192.72340425531914</v>
      </c>
      <c r="BA12" s="620">
        <f t="shared" si="4"/>
        <v>9058</v>
      </c>
      <c r="BB12" s="31">
        <f t="shared" si="5"/>
        <v>47</v>
      </c>
      <c r="BC12" s="455">
        <f>IFERROR(Tabelle24[[#This Row],[€ Max.]]/Tabelle24[[#This Row],[Backer Max.]],"")</f>
        <v>192.72340425531914</v>
      </c>
      <c r="BD12" s="42"/>
      <c r="BE12" s="42"/>
      <c r="BF12" s="42"/>
      <c r="BG12" s="150"/>
      <c r="BH12" s="150"/>
      <c r="BI12" s="42"/>
      <c r="BJ12" s="42"/>
      <c r="BK12" s="23"/>
      <c r="BL12" s="23"/>
      <c r="BM12" s="23"/>
      <c r="BN12" s="23"/>
      <c r="BO12" s="23"/>
      <c r="BP12" s="23"/>
      <c r="BQ12" s="23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</row>
    <row r="13" spans="1:104" s="2" customFormat="1" ht="18.75" customHeight="1" thickBot="1" x14ac:dyDescent="0.35">
      <c r="A13" s="101"/>
      <c r="B13" s="856"/>
      <c r="C13" s="111"/>
      <c r="D13" s="95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4"/>
      <c r="T13" s="114"/>
      <c r="U13" s="114"/>
      <c r="V13" s="111"/>
      <c r="W13" s="111"/>
      <c r="X13" s="111"/>
      <c r="Y13" s="420"/>
      <c r="Z13" s="111"/>
      <c r="AA13" s="111"/>
      <c r="AB13" s="111"/>
      <c r="AC13" s="111"/>
      <c r="AD13" s="111"/>
      <c r="AE13" s="111"/>
      <c r="AF13" s="111"/>
      <c r="AG13" s="111"/>
      <c r="AH13" s="822" t="s">
        <v>31</v>
      </c>
      <c r="AI13" s="823">
        <f>AI12-AI10</f>
        <v>-1770</v>
      </c>
      <c r="AJ13" s="23"/>
      <c r="AK13" s="23"/>
      <c r="AL13" s="23"/>
      <c r="AM13" s="23"/>
      <c r="AN13" s="23"/>
      <c r="AO13" s="23"/>
      <c r="AP13" s="23"/>
      <c r="AQ13" s="23"/>
      <c r="AR13" s="23"/>
      <c r="AS13" s="70" t="s">
        <v>19</v>
      </c>
      <c r="AT13" s="618">
        <v>6</v>
      </c>
      <c r="AU13" s="624">
        <f t="shared" si="0"/>
        <v>8013</v>
      </c>
      <c r="AV13" s="456">
        <f t="shared" si="1"/>
        <v>43</v>
      </c>
      <c r="AW13" s="625">
        <f>IFERROR(Tabelle24[[#This Row],[€]]/Tabelle24[[#This Row],[Backer]],"")</f>
        <v>186.34883720930233</v>
      </c>
      <c r="AX13" s="622">
        <f t="shared" si="2"/>
        <v>8013</v>
      </c>
      <c r="AY13" s="31">
        <f t="shared" si="3"/>
        <v>43</v>
      </c>
      <c r="AZ13" s="623">
        <f>IFERROR(Tabelle24[[#This Row],[€ Min.]]/Tabelle24[[#This Row],[Backer Min.]],"")</f>
        <v>186.34883720930233</v>
      </c>
      <c r="BA13" s="620">
        <f t="shared" si="4"/>
        <v>8013</v>
      </c>
      <c r="BB13" s="31">
        <f t="shared" si="5"/>
        <v>43</v>
      </c>
      <c r="BC13" s="455">
        <f>IFERROR(Tabelle24[[#This Row],[€ Max.]]/Tabelle24[[#This Row],[Backer Max.]],"")</f>
        <v>186.34883720930233</v>
      </c>
      <c r="BD13" s="42"/>
      <c r="BE13" s="42"/>
      <c r="BF13" s="42"/>
      <c r="BG13" s="150"/>
      <c r="BH13" s="150"/>
      <c r="BI13" s="42"/>
      <c r="BJ13" s="42"/>
      <c r="BK13" s="23"/>
      <c r="BL13" s="23"/>
      <c r="BM13" s="23"/>
      <c r="BN13" s="23"/>
      <c r="BO13" s="23"/>
      <c r="BP13" s="23"/>
      <c r="BQ13" s="23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</row>
    <row r="14" spans="1:104" s="2" customFormat="1" ht="18.75" customHeight="1" thickBot="1" x14ac:dyDescent="0.35">
      <c r="A14" s="101"/>
      <c r="B14" s="856"/>
      <c r="C14" s="111"/>
      <c r="D14" s="95"/>
      <c r="E14" s="111"/>
      <c r="F14" s="111"/>
      <c r="G14" s="111"/>
      <c r="H14" s="897" t="s">
        <v>549</v>
      </c>
      <c r="I14" s="898"/>
      <c r="J14" s="898"/>
      <c r="K14" s="898"/>
      <c r="L14" s="898"/>
      <c r="M14" s="898"/>
      <c r="N14" s="898"/>
      <c r="O14" s="898"/>
      <c r="P14" s="899" t="s">
        <v>305</v>
      </c>
      <c r="Q14" s="894"/>
      <c r="R14" s="900"/>
      <c r="S14" s="922" t="s">
        <v>573</v>
      </c>
      <c r="T14" s="923"/>
      <c r="U14" s="923"/>
      <c r="V14" s="923"/>
      <c r="W14" s="924"/>
      <c r="X14" s="111"/>
      <c r="Y14" s="420"/>
      <c r="Z14" s="111"/>
      <c r="AA14" s="111"/>
      <c r="AB14" s="111"/>
      <c r="AC14" s="111"/>
      <c r="AD14" s="111"/>
      <c r="AE14" s="111"/>
      <c r="AF14" s="111"/>
      <c r="AG14" s="111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85" t="s">
        <v>21</v>
      </c>
      <c r="AT14" s="618">
        <v>10</v>
      </c>
      <c r="AU14" s="622">
        <f t="shared" si="0"/>
        <v>7990</v>
      </c>
      <c r="AV14" s="31">
        <f t="shared" si="1"/>
        <v>44</v>
      </c>
      <c r="AW14" s="623">
        <f>IFERROR(Tabelle24[[#This Row],[€]]/Tabelle24[[#This Row],[Backer]],"")</f>
        <v>181.59090909090909</v>
      </c>
      <c r="AX14" s="622">
        <f t="shared" si="2"/>
        <v>7990</v>
      </c>
      <c r="AY14" s="31">
        <f t="shared" si="3"/>
        <v>44</v>
      </c>
      <c r="AZ14" s="623">
        <f>IFERROR(Tabelle24[[#This Row],[€ Min.]]/Tabelle24[[#This Row],[Backer Min.]],"")</f>
        <v>181.59090909090909</v>
      </c>
      <c r="BA14" s="620">
        <f t="shared" si="4"/>
        <v>7990</v>
      </c>
      <c r="BB14" s="31">
        <f t="shared" si="5"/>
        <v>44</v>
      </c>
      <c r="BC14" s="455">
        <f>IFERROR(Tabelle24[[#This Row],[€ Max.]]/Tabelle24[[#This Row],[Backer Max.]],"")</f>
        <v>181.59090909090909</v>
      </c>
      <c r="BD14" s="42"/>
      <c r="BE14" s="42"/>
      <c r="BF14" s="42"/>
      <c r="BG14" s="150"/>
      <c r="BH14" s="150"/>
      <c r="BI14" s="42"/>
      <c r="BJ14" s="42"/>
      <c r="BK14" s="23"/>
      <c r="BL14" s="23"/>
      <c r="BM14" s="23"/>
      <c r="BN14" s="23"/>
      <c r="BO14" s="23"/>
      <c r="BP14" s="23"/>
      <c r="BQ14" s="23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</row>
    <row r="15" spans="1:104" s="2" customFormat="1" ht="18.75" customHeight="1" thickBot="1" x14ac:dyDescent="0.3">
      <c r="A15" s="101"/>
      <c r="B15" s="856"/>
      <c r="C15" s="111"/>
      <c r="D15" s="95"/>
      <c r="E15" s="111"/>
      <c r="F15" s="111"/>
      <c r="G15" s="111"/>
      <c r="H15" s="472" t="s">
        <v>302</v>
      </c>
      <c r="I15" s="473" t="s">
        <v>306</v>
      </c>
      <c r="J15" s="894" t="s">
        <v>304</v>
      </c>
      <c r="K15" s="894"/>
      <c r="L15" s="894"/>
      <c r="M15" s="894"/>
      <c r="N15" s="474"/>
      <c r="O15" s="473" t="s">
        <v>303</v>
      </c>
      <c r="P15" s="677" t="s">
        <v>670</v>
      </c>
      <c r="Q15" s="835" t="s">
        <v>351</v>
      </c>
      <c r="R15" s="836" t="s">
        <v>350</v>
      </c>
      <c r="S15" s="925"/>
      <c r="T15" s="926"/>
      <c r="U15" s="926"/>
      <c r="V15" s="926"/>
      <c r="W15" s="927"/>
      <c r="X15" s="111"/>
      <c r="Y15" s="420"/>
      <c r="Z15" s="111"/>
      <c r="AA15" s="111"/>
      <c r="AB15" s="111"/>
      <c r="AC15" s="111"/>
      <c r="AD15" s="111"/>
      <c r="AE15" s="111"/>
      <c r="AF15" s="111"/>
      <c r="AG15" s="111"/>
      <c r="AH15" s="194" t="s">
        <v>318</v>
      </c>
      <c r="AI15" s="475">
        <f>AI10-AI12</f>
        <v>1770</v>
      </c>
      <c r="AJ15" s="23"/>
      <c r="AK15" s="23"/>
      <c r="AL15" s="23"/>
      <c r="AM15" s="23"/>
      <c r="AN15" s="23"/>
      <c r="AO15" s="23"/>
      <c r="AP15" s="23"/>
      <c r="AQ15" s="23"/>
      <c r="AR15" s="23"/>
      <c r="AS15" s="70" t="s">
        <v>49</v>
      </c>
      <c r="AT15" s="618">
        <v>12</v>
      </c>
      <c r="AU15" s="622">
        <f t="shared" si="0"/>
        <v>7201</v>
      </c>
      <c r="AV15" s="31">
        <f t="shared" si="1"/>
        <v>36</v>
      </c>
      <c r="AW15" s="623">
        <f>IFERROR(Tabelle24[[#This Row],[€]]/Tabelle24[[#This Row],[Backer]],"")</f>
        <v>200.02777777777777</v>
      </c>
      <c r="AX15" s="622">
        <f t="shared" si="2"/>
        <v>7201</v>
      </c>
      <c r="AY15" s="31">
        <f t="shared" si="3"/>
        <v>36</v>
      </c>
      <c r="AZ15" s="623">
        <f>IFERROR(Tabelle24[[#This Row],[€ Min.]]/Tabelle24[[#This Row],[Backer Min.]],"")</f>
        <v>200.02777777777777</v>
      </c>
      <c r="BA15" s="620">
        <f t="shared" si="4"/>
        <v>7201</v>
      </c>
      <c r="BB15" s="31">
        <f t="shared" si="5"/>
        <v>36</v>
      </c>
      <c r="BC15" s="455">
        <f>IFERROR(Tabelle24[[#This Row],[€ Max.]]/Tabelle24[[#This Row],[Backer Max.]],"")</f>
        <v>200.02777777777777</v>
      </c>
      <c r="BD15" s="42"/>
      <c r="BE15" s="42"/>
      <c r="BF15" s="42"/>
      <c r="BG15" s="150"/>
      <c r="BH15" s="150"/>
      <c r="BI15" s="42"/>
      <c r="BJ15" s="42"/>
      <c r="BK15" s="23"/>
      <c r="BL15" s="23"/>
      <c r="BM15" s="23"/>
      <c r="BN15" s="23"/>
      <c r="BO15" s="23"/>
      <c r="BP15" s="23"/>
      <c r="BQ15" s="23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</row>
    <row r="16" spans="1:104" s="2" customFormat="1" ht="18.75" customHeight="1" x14ac:dyDescent="0.25">
      <c r="A16" s="101"/>
      <c r="B16" s="856"/>
      <c r="C16" s="111"/>
      <c r="D16" s="95"/>
      <c r="E16" s="111"/>
      <c r="F16" s="111"/>
      <c r="G16" s="111"/>
      <c r="H16" s="526" t="str">
        <f t="shared" ref="H16:H30" si="6">IF(O16&lt;$AI$8,"Erreicht",IF(J16&lt;&gt;"noch unbekannt","Offengelegt","Geheim"))</f>
        <v>Erreicht</v>
      </c>
      <c r="I16" s="527">
        <v>1</v>
      </c>
      <c r="J16" s="528" t="s">
        <v>570</v>
      </c>
      <c r="K16" s="529"/>
      <c r="L16" s="529"/>
      <c r="M16" s="529"/>
      <c r="N16" s="529"/>
      <c r="O16" s="530">
        <v>30000</v>
      </c>
      <c r="P16" s="532" t="str">
        <f t="shared" ref="P16:P41" si="7">"an Tag "&amp;INDEX($G$56:$G$77,MATCH(O16,$I$56:$I$77,1),1)+1</f>
        <v>an Tag 1</v>
      </c>
      <c r="Q16" s="527" t="str">
        <f t="shared" ref="Q16:Q47" si="8">IF(O16&lt;$AI$8,"",IF(INDEX($G$56:$G$77,MATCH(O16,$K$56:$K$77,1),1)+1&gt;21,"verfehlt","an Tag "&amp;INDEX($G$56:$G$77,MATCH(O16,$K$56:$K$77,1),1)+1))</f>
        <v/>
      </c>
      <c r="R16" s="757" t="str">
        <f t="shared" ref="R16:R47" si="9">IF(O16&lt;$AI$8,"",IF(INDEX($G$56:$G$77,MATCH(O16,$J$56:$J$77,1),1)+1&gt;21,"verfehlt","an Tag "&amp;INDEX($G$56:$G$77,MATCH(O16,$J$56:$J$77,1),1)+1))</f>
        <v/>
      </c>
      <c r="S16" s="791" t="s">
        <v>3</v>
      </c>
      <c r="T16" s="791"/>
      <c r="U16" s="529"/>
      <c r="V16" s="529"/>
      <c r="W16" s="787"/>
      <c r="X16" s="111"/>
      <c r="Y16" s="420"/>
      <c r="Z16" s="111"/>
      <c r="AA16" s="111"/>
      <c r="AB16" s="111"/>
      <c r="AC16" s="111"/>
      <c r="AD16" s="111"/>
      <c r="AE16" s="111"/>
      <c r="AF16" s="111"/>
      <c r="AG16" s="111"/>
      <c r="AH16" s="686" t="str">
        <f>Einkaufsführer!$K$3</f>
        <v>Regional-spielhilfe</v>
      </c>
      <c r="AI16" s="30">
        <v>87</v>
      </c>
      <c r="AJ16" s="23"/>
      <c r="AK16" s="35">
        <f>AI16*Einkaufsführer!K7</f>
        <v>3915</v>
      </c>
      <c r="AL16" s="23"/>
      <c r="AM16" s="23"/>
      <c r="AN16" s="23"/>
      <c r="AO16" s="23"/>
      <c r="AP16" s="23"/>
      <c r="AQ16" s="23"/>
      <c r="AR16" s="23"/>
      <c r="AS16" s="70" t="s">
        <v>22</v>
      </c>
      <c r="AT16" s="618">
        <v>18</v>
      </c>
      <c r="AU16" s="622">
        <f t="shared" si="0"/>
        <v>6632</v>
      </c>
      <c r="AV16" s="31">
        <f t="shared" si="1"/>
        <v>39</v>
      </c>
      <c r="AW16" s="623">
        <f>IFERROR(Tabelle24[[#This Row],[€]]/Tabelle24[[#This Row],[Backer]],"")</f>
        <v>170.05128205128204</v>
      </c>
      <c r="AX16" s="622">
        <f t="shared" si="2"/>
        <v>6632</v>
      </c>
      <c r="AY16" s="31">
        <f t="shared" si="3"/>
        <v>39</v>
      </c>
      <c r="AZ16" s="623">
        <f>IFERROR(Tabelle24[[#This Row],[€ Min.]]/Tabelle24[[#This Row],[Backer Min.]],"")</f>
        <v>170.05128205128204</v>
      </c>
      <c r="BA16" s="620">
        <f t="shared" si="4"/>
        <v>6632</v>
      </c>
      <c r="BB16" s="31">
        <f t="shared" si="5"/>
        <v>39</v>
      </c>
      <c r="BC16" s="455">
        <f>IFERROR(Tabelle24[[#This Row],[€ Max.]]/Tabelle24[[#This Row],[Backer Max.]],"")</f>
        <v>170.05128205128204</v>
      </c>
      <c r="BD16" s="42"/>
      <c r="BE16" s="42"/>
      <c r="BF16" s="42"/>
      <c r="BG16" s="150"/>
      <c r="BH16" s="150"/>
      <c r="BI16" s="42"/>
      <c r="BJ16" s="42"/>
      <c r="BK16" s="23"/>
      <c r="BL16" s="23"/>
      <c r="BM16" s="23"/>
      <c r="BN16" s="23"/>
      <c r="BO16" s="23"/>
      <c r="BP16" s="23"/>
      <c r="BQ16" s="23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</row>
    <row r="17" spans="1:104" s="2" customFormat="1" ht="18.75" customHeight="1" thickBot="1" x14ac:dyDescent="0.35">
      <c r="A17" s="101"/>
      <c r="B17" s="857"/>
      <c r="C17" s="111"/>
      <c r="D17" s="95"/>
      <c r="E17" s="111"/>
      <c r="F17" s="184" t="s">
        <v>132</v>
      </c>
      <c r="G17" s="111"/>
      <c r="H17" s="531" t="str">
        <f t="shared" si="6"/>
        <v>Erreicht</v>
      </c>
      <c r="I17" s="532">
        <f>I16+1</f>
        <v>2</v>
      </c>
      <c r="J17" s="533" t="s">
        <v>571</v>
      </c>
      <c r="K17" s="534"/>
      <c r="L17" s="534"/>
      <c r="M17" s="534"/>
      <c r="N17" s="534"/>
      <c r="O17" s="535">
        <f>O16+10000</f>
        <v>40000</v>
      </c>
      <c r="P17" s="532" t="str">
        <f t="shared" si="7"/>
        <v>an Tag 1</v>
      </c>
      <c r="Q17" s="532" t="str">
        <f t="shared" si="8"/>
        <v/>
      </c>
      <c r="R17" s="757" t="str">
        <f t="shared" si="9"/>
        <v/>
      </c>
      <c r="S17" s="533" t="s">
        <v>572</v>
      </c>
      <c r="T17" s="533"/>
      <c r="U17" s="534"/>
      <c r="V17" s="534"/>
      <c r="W17" s="788"/>
      <c r="X17" s="111"/>
      <c r="Y17" s="420"/>
      <c r="Z17" s="111"/>
      <c r="AA17" s="111"/>
      <c r="AB17" s="111"/>
      <c r="AC17" s="111"/>
      <c r="AD17" s="111"/>
      <c r="AE17" s="111"/>
      <c r="AF17" s="111"/>
      <c r="AG17" s="111"/>
      <c r="AH17" s="686" t="str">
        <f>Einkaufsführer!$L$3</f>
        <v>Regional-spielhilfe Deluxe</v>
      </c>
      <c r="AI17" s="190">
        <v>31</v>
      </c>
      <c r="AJ17" s="23"/>
      <c r="AK17" s="35">
        <f>AI17*Einkaufsführer!L7</f>
        <v>2170</v>
      </c>
      <c r="AL17" s="23"/>
      <c r="AM17" s="23"/>
      <c r="AN17" s="23"/>
      <c r="AO17" s="23"/>
      <c r="AP17" s="23"/>
      <c r="AQ17" s="23"/>
      <c r="AR17" s="23"/>
      <c r="AS17" s="85" t="s">
        <v>50</v>
      </c>
      <c r="AT17" s="618">
        <v>5</v>
      </c>
      <c r="AU17" s="624">
        <f t="shared" si="0"/>
        <v>6598</v>
      </c>
      <c r="AV17" s="456">
        <f t="shared" si="1"/>
        <v>33</v>
      </c>
      <c r="AW17" s="625">
        <f>IFERROR(Tabelle24[[#This Row],[€]]/Tabelle24[[#This Row],[Backer]],"")</f>
        <v>199.93939393939394</v>
      </c>
      <c r="AX17" s="622">
        <f t="shared" si="2"/>
        <v>6598</v>
      </c>
      <c r="AY17" s="31">
        <f t="shared" si="3"/>
        <v>33</v>
      </c>
      <c r="AZ17" s="623">
        <f>IFERROR(Tabelle24[[#This Row],[€ Min.]]/Tabelle24[[#This Row],[Backer Min.]],"")</f>
        <v>199.93939393939394</v>
      </c>
      <c r="BA17" s="620">
        <f t="shared" si="4"/>
        <v>6598</v>
      </c>
      <c r="BB17" s="31">
        <f t="shared" si="5"/>
        <v>33</v>
      </c>
      <c r="BC17" s="455">
        <f>IFERROR(Tabelle24[[#This Row],[€ Max.]]/Tabelle24[[#This Row],[Backer Max.]],"")</f>
        <v>199.93939393939394</v>
      </c>
      <c r="BD17" s="42"/>
      <c r="BE17" s="42"/>
      <c r="BF17" s="42"/>
      <c r="BG17" s="150"/>
      <c r="BH17" s="150"/>
      <c r="BI17" s="42"/>
      <c r="BJ17" s="42"/>
      <c r="BK17" s="23"/>
      <c r="BL17" s="23"/>
      <c r="BM17" s="23"/>
      <c r="BN17" s="23"/>
      <c r="BO17" s="23"/>
      <c r="BP17" s="23"/>
      <c r="BQ17" s="23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</row>
    <row r="18" spans="1:104" s="2" customFormat="1" ht="18.75" customHeight="1" x14ac:dyDescent="0.3">
      <c r="A18" s="101"/>
      <c r="B18" s="95"/>
      <c r="C18" s="95"/>
      <c r="D18" s="182" t="s">
        <v>559</v>
      </c>
      <c r="E18" s="182"/>
      <c r="F18" s="556"/>
      <c r="G18" s="111"/>
      <c r="H18" s="531" t="str">
        <f t="shared" si="6"/>
        <v>Erreicht</v>
      </c>
      <c r="I18" s="532">
        <f t="shared" ref="I18:I25" si="10">I17+1</f>
        <v>3</v>
      </c>
      <c r="J18" s="533" t="s">
        <v>574</v>
      </c>
      <c r="K18" s="534"/>
      <c r="L18" s="534"/>
      <c r="M18" s="534"/>
      <c r="N18" s="534"/>
      <c r="O18" s="535">
        <f t="shared" ref="O18:O33" si="11">O17+10000</f>
        <v>50000</v>
      </c>
      <c r="P18" s="532" t="str">
        <f t="shared" si="7"/>
        <v>an Tag 1</v>
      </c>
      <c r="Q18" s="532" t="str">
        <f t="shared" si="8"/>
        <v/>
      </c>
      <c r="R18" s="757" t="str">
        <f t="shared" si="9"/>
        <v/>
      </c>
      <c r="S18" s="533" t="s">
        <v>572</v>
      </c>
      <c r="T18" s="533"/>
      <c r="U18" s="534"/>
      <c r="V18" s="534"/>
      <c r="W18" s="788"/>
      <c r="X18" s="111"/>
      <c r="Y18" s="420"/>
      <c r="Z18" s="111"/>
      <c r="AA18" s="111"/>
      <c r="AB18" s="111"/>
      <c r="AC18" s="111"/>
      <c r="AD18" s="95"/>
      <c r="AE18" s="95"/>
      <c r="AF18" s="95"/>
      <c r="AG18" s="95"/>
      <c r="AH18" s="686" t="str">
        <f>Einkaufsführer!$M$3</f>
        <v>Bundle regelfrei</v>
      </c>
      <c r="AI18" s="190">
        <v>65</v>
      </c>
      <c r="AJ18" s="23"/>
      <c r="AK18" s="35">
        <f>AI18*Einkaufsführer!M7</f>
        <v>5525</v>
      </c>
      <c r="AL18" s="23"/>
      <c r="AM18" s="23"/>
      <c r="AN18" s="23"/>
      <c r="AO18" s="23"/>
      <c r="AP18" s="23"/>
      <c r="AQ18" s="23"/>
      <c r="AR18" s="23"/>
      <c r="AS18" s="70" t="s">
        <v>23</v>
      </c>
      <c r="AT18" s="618">
        <v>19</v>
      </c>
      <c r="AU18" s="622">
        <f t="shared" si="0"/>
        <v>6469</v>
      </c>
      <c r="AV18" s="31">
        <f t="shared" si="1"/>
        <v>35</v>
      </c>
      <c r="AW18" s="623">
        <f>IFERROR(Tabelle24[[#This Row],[€]]/Tabelle24[[#This Row],[Backer]],"")</f>
        <v>184.82857142857142</v>
      </c>
      <c r="AX18" s="622">
        <f t="shared" si="2"/>
        <v>6469</v>
      </c>
      <c r="AY18" s="31">
        <f t="shared" si="3"/>
        <v>35</v>
      </c>
      <c r="AZ18" s="623">
        <f>IFERROR(Tabelle24[[#This Row],[€ Min.]]/Tabelle24[[#This Row],[Backer Min.]],"")</f>
        <v>184.82857142857142</v>
      </c>
      <c r="BA18" s="620">
        <f t="shared" si="4"/>
        <v>6469</v>
      </c>
      <c r="BB18" s="31">
        <f t="shared" si="5"/>
        <v>35</v>
      </c>
      <c r="BC18" s="455">
        <f>IFERROR(Tabelle24[[#This Row],[€ Max.]]/Tabelle24[[#This Row],[Backer Max.]],"")</f>
        <v>184.82857142857142</v>
      </c>
      <c r="BD18" s="42"/>
      <c r="BE18" s="42"/>
      <c r="BF18" s="42"/>
      <c r="BG18" s="150"/>
      <c r="BH18" s="150"/>
      <c r="BI18" s="42"/>
      <c r="BJ18" s="42"/>
      <c r="BK18" s="23"/>
      <c r="BL18" s="23"/>
      <c r="BM18" s="23"/>
      <c r="BN18" s="23"/>
      <c r="BO18" s="23"/>
      <c r="BP18" s="23"/>
      <c r="BQ18" s="23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</row>
    <row r="19" spans="1:104" s="2" customFormat="1" ht="18.75" customHeight="1" x14ac:dyDescent="0.3">
      <c r="A19" s="101"/>
      <c r="B19" s="95"/>
      <c r="C19" s="182" t="s">
        <v>654</v>
      </c>
      <c r="D19" s="525" t="s">
        <v>653</v>
      </c>
      <c r="E19" s="182" t="s">
        <v>347</v>
      </c>
      <c r="F19" s="525" t="s">
        <v>95</v>
      </c>
      <c r="G19" s="111"/>
      <c r="H19" s="531" t="str">
        <f t="shared" si="6"/>
        <v>Erreicht</v>
      </c>
      <c r="I19" s="532">
        <f t="shared" si="10"/>
        <v>4</v>
      </c>
      <c r="J19" s="533" t="s">
        <v>575</v>
      </c>
      <c r="K19" s="534"/>
      <c r="L19" s="534"/>
      <c r="M19" s="534"/>
      <c r="N19" s="534"/>
      <c r="O19" s="535">
        <f t="shared" si="11"/>
        <v>60000</v>
      </c>
      <c r="P19" s="532" t="str">
        <f t="shared" si="7"/>
        <v>an Tag 1</v>
      </c>
      <c r="Q19" s="532" t="str">
        <f t="shared" si="8"/>
        <v/>
      </c>
      <c r="R19" s="757" t="str">
        <f t="shared" si="9"/>
        <v/>
      </c>
      <c r="S19" s="533" t="s">
        <v>572</v>
      </c>
      <c r="T19" s="533"/>
      <c r="U19" s="534"/>
      <c r="V19" s="534"/>
      <c r="W19" s="788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686" t="str">
        <f>Einkaufsführer!$N$3</f>
        <v>Digitales Bundle</v>
      </c>
      <c r="AI19" s="190">
        <v>197</v>
      </c>
      <c r="AJ19" s="23"/>
      <c r="AK19" s="35">
        <f>AI19*Einkaufsführer!N7</f>
        <v>19503</v>
      </c>
      <c r="AL19" s="23"/>
      <c r="AM19" s="23"/>
      <c r="AN19" s="23"/>
      <c r="AO19" s="23"/>
      <c r="AP19" s="23"/>
      <c r="AQ19" s="23"/>
      <c r="AR19" s="23"/>
      <c r="AS19" s="70" t="s">
        <v>51</v>
      </c>
      <c r="AT19" s="618">
        <v>8</v>
      </c>
      <c r="AU19" s="622">
        <f t="shared" si="0"/>
        <v>6324</v>
      </c>
      <c r="AV19" s="31">
        <f t="shared" si="1"/>
        <v>33</v>
      </c>
      <c r="AW19" s="623">
        <f>IFERROR(Tabelle24[[#This Row],[€]]/Tabelle24[[#This Row],[Backer]],"")</f>
        <v>191.63636363636363</v>
      </c>
      <c r="AX19" s="622">
        <f t="shared" si="2"/>
        <v>6324</v>
      </c>
      <c r="AY19" s="31">
        <f t="shared" si="3"/>
        <v>33</v>
      </c>
      <c r="AZ19" s="623">
        <f>IFERROR(Tabelle24[[#This Row],[€ Min.]]/Tabelle24[[#This Row],[Backer Min.]],"")</f>
        <v>191.63636363636363</v>
      </c>
      <c r="BA19" s="620">
        <f t="shared" si="4"/>
        <v>6324</v>
      </c>
      <c r="BB19" s="31">
        <f t="shared" si="5"/>
        <v>33</v>
      </c>
      <c r="BC19" s="455">
        <f>IFERROR(Tabelle24[[#This Row],[€ Max.]]/Tabelle24[[#This Row],[Backer Max.]],"")</f>
        <v>191.63636363636363</v>
      </c>
      <c r="BD19" s="42"/>
      <c r="BE19" s="42"/>
      <c r="BF19" s="42"/>
      <c r="BG19" s="150"/>
      <c r="BH19" s="150"/>
      <c r="BI19" s="42"/>
      <c r="BJ19" s="42"/>
      <c r="BK19" s="23"/>
      <c r="BL19" s="23"/>
      <c r="BM19" s="23"/>
      <c r="BN19" s="23"/>
      <c r="BO19" s="23"/>
      <c r="BP19" s="23"/>
      <c r="BQ19" s="23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</row>
    <row r="20" spans="1:104" s="2" customFormat="1" ht="18.75" customHeight="1" collapsed="1" thickBot="1" x14ac:dyDescent="0.3">
      <c r="A20" s="101"/>
      <c r="B20" s="95"/>
      <c r="C20" s="111"/>
      <c r="D20" s="95"/>
      <c r="E20" s="95"/>
      <c r="F20" s="111"/>
      <c r="G20" s="111"/>
      <c r="H20" s="531" t="str">
        <f t="shared" si="6"/>
        <v>Erreicht</v>
      </c>
      <c r="I20" s="532">
        <f t="shared" si="10"/>
        <v>5</v>
      </c>
      <c r="J20" s="533" t="s">
        <v>576</v>
      </c>
      <c r="K20" s="534"/>
      <c r="L20" s="534"/>
      <c r="M20" s="534"/>
      <c r="N20" s="534"/>
      <c r="O20" s="535">
        <f t="shared" si="11"/>
        <v>70000</v>
      </c>
      <c r="P20" s="532" t="str">
        <f t="shared" si="7"/>
        <v>an Tag 1</v>
      </c>
      <c r="Q20" s="532" t="str">
        <f t="shared" si="8"/>
        <v/>
      </c>
      <c r="R20" s="757" t="str">
        <f t="shared" si="9"/>
        <v/>
      </c>
      <c r="S20" s="533" t="s">
        <v>572</v>
      </c>
      <c r="T20" s="533"/>
      <c r="U20" s="534"/>
      <c r="V20" s="534"/>
      <c r="W20" s="788"/>
      <c r="X20" s="111"/>
      <c r="Y20" s="95"/>
      <c r="Z20" s="95"/>
      <c r="AA20" s="95"/>
      <c r="AB20" s="95"/>
      <c r="AC20" s="95"/>
      <c r="AD20" s="95"/>
      <c r="AE20" s="95"/>
      <c r="AF20" s="95"/>
      <c r="AG20" s="95"/>
      <c r="AH20" s="686" t="str">
        <f>Einkaufsführer!$O$3</f>
        <v>Haupt-bände</v>
      </c>
      <c r="AI20" s="190">
        <v>295</v>
      </c>
      <c r="AJ20" s="23"/>
      <c r="AK20" s="35">
        <f>AI20*Einkaufsführer!O7</f>
        <v>26550</v>
      </c>
      <c r="AL20" s="23"/>
      <c r="AM20" s="23"/>
      <c r="AN20" s="23"/>
      <c r="AO20" s="23"/>
      <c r="AP20" s="23"/>
      <c r="AQ20" s="23"/>
      <c r="AR20" s="23"/>
      <c r="AS20" s="85" t="s">
        <v>52</v>
      </c>
      <c r="AT20" s="618">
        <v>17</v>
      </c>
      <c r="AU20" s="622">
        <f t="shared" si="0"/>
        <v>5972</v>
      </c>
      <c r="AV20" s="31">
        <f t="shared" si="1"/>
        <v>32</v>
      </c>
      <c r="AW20" s="623">
        <f>IFERROR(Tabelle24[[#This Row],[€]]/Tabelle24[[#This Row],[Backer]],"")</f>
        <v>186.625</v>
      </c>
      <c r="AX20" s="622">
        <f t="shared" si="2"/>
        <v>5972</v>
      </c>
      <c r="AY20" s="31">
        <f t="shared" si="3"/>
        <v>32</v>
      </c>
      <c r="AZ20" s="623">
        <f>IFERROR(Tabelle24[[#This Row],[€ Min.]]/Tabelle24[[#This Row],[Backer Min.]],"")</f>
        <v>186.625</v>
      </c>
      <c r="BA20" s="620">
        <f t="shared" si="4"/>
        <v>5972</v>
      </c>
      <c r="BB20" s="31">
        <f t="shared" si="5"/>
        <v>32</v>
      </c>
      <c r="BC20" s="455">
        <f>IFERROR(Tabelle24[[#This Row],[€ Max.]]/Tabelle24[[#This Row],[Backer Max.]],"")</f>
        <v>186.625</v>
      </c>
      <c r="BD20" s="42"/>
      <c r="BE20" s="42"/>
      <c r="BF20" s="42"/>
      <c r="BG20" s="150"/>
      <c r="BH20" s="150"/>
      <c r="BI20" s="42"/>
      <c r="BJ20" s="42"/>
      <c r="BK20" s="23"/>
      <c r="BL20" s="23"/>
      <c r="BM20" s="23"/>
      <c r="BN20" s="23"/>
      <c r="BO20" s="23"/>
      <c r="BP20" s="23"/>
      <c r="BQ20" s="23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</row>
    <row r="21" spans="1:104" s="2" customFormat="1" ht="18.75" customHeight="1" x14ac:dyDescent="0.25">
      <c r="A21" s="101"/>
      <c r="B21" s="855" t="str">
        <f>"Aktueller
Stand: 
"&amp;TEXT(AI5,"TT.MM.JJJJ")&amp;"
"&amp;AI6&amp;" Uhr"</f>
        <v>Aktueller
Stand: 
07.07.2026
18:00 Uhr</v>
      </c>
      <c r="C21" s="189"/>
      <c r="D21" s="846" t="str">
        <f>TEXT(AI4&amp;". Tag (noch "&amp;21-AI4&amp;"+ Tage)",)&amp;"; Aktueller Stand: "&amp;TEXT(AI8,"#.##0")&amp;" € von "&amp;TEXT(AI10,"#.##0")&amp;" Unterstützern (Ø "&amp;TEXT(AI11,"#.##0,00")&amp;" €)"</f>
        <v>22. Tag (noch -1+ Tage); Aktueller Stand: 331.726 € von 1.770 Unterstützern (Ø 187,42 €)</v>
      </c>
      <c r="E21" s="847"/>
      <c r="F21" s="848"/>
      <c r="G21" s="111"/>
      <c r="H21" s="531" t="str">
        <f t="shared" si="6"/>
        <v>Erreicht</v>
      </c>
      <c r="I21" s="532">
        <f t="shared" si="10"/>
        <v>6</v>
      </c>
      <c r="J21" s="533" t="s">
        <v>577</v>
      </c>
      <c r="K21" s="534"/>
      <c r="L21" s="534"/>
      <c r="M21" s="534"/>
      <c r="N21" s="534"/>
      <c r="O21" s="535">
        <f t="shared" si="11"/>
        <v>80000</v>
      </c>
      <c r="P21" s="532" t="str">
        <f t="shared" si="7"/>
        <v>an Tag 1</v>
      </c>
      <c r="Q21" s="532" t="str">
        <f t="shared" si="8"/>
        <v/>
      </c>
      <c r="R21" s="757" t="str">
        <f t="shared" si="9"/>
        <v/>
      </c>
      <c r="S21" s="533" t="s">
        <v>572</v>
      </c>
      <c r="T21" s="533"/>
      <c r="U21" s="534"/>
      <c r="V21" s="534"/>
      <c r="W21" s="788"/>
      <c r="X21" s="111"/>
      <c r="Y21" s="95"/>
      <c r="Z21" s="95"/>
      <c r="AA21" s="95"/>
      <c r="AB21" s="95"/>
      <c r="AC21" s="95"/>
      <c r="AD21" s="95"/>
      <c r="AE21" s="95"/>
      <c r="AF21" s="95"/>
      <c r="AG21" s="95"/>
      <c r="AH21" s="686" t="str">
        <f>Einkaufsführer!$P$3</f>
        <v>Haupt-bände Deluxe</v>
      </c>
      <c r="AI21" s="190">
        <v>16</v>
      </c>
      <c r="AJ21" s="23"/>
      <c r="AK21" s="35"/>
      <c r="AL21" s="23"/>
      <c r="AM21" s="23"/>
      <c r="AN21" s="23"/>
      <c r="AO21" s="23"/>
      <c r="AP21" s="23"/>
      <c r="AQ21" s="23"/>
      <c r="AR21" s="23"/>
      <c r="AS21" s="70" t="s">
        <v>53</v>
      </c>
      <c r="AT21" s="618">
        <v>16</v>
      </c>
      <c r="AU21" s="622">
        <f t="shared" si="0"/>
        <v>5901</v>
      </c>
      <c r="AV21" s="31">
        <f t="shared" si="1"/>
        <v>34</v>
      </c>
      <c r="AW21" s="623">
        <f>IFERROR(Tabelle24[[#This Row],[€]]/Tabelle24[[#This Row],[Backer]],"")</f>
        <v>173.55882352941177</v>
      </c>
      <c r="AX21" s="622">
        <f t="shared" si="2"/>
        <v>5901</v>
      </c>
      <c r="AY21" s="31">
        <f t="shared" si="3"/>
        <v>34</v>
      </c>
      <c r="AZ21" s="623">
        <f>IFERROR(Tabelle24[[#This Row],[€ Min.]]/Tabelle24[[#This Row],[Backer Min.]],"")</f>
        <v>173.55882352941177</v>
      </c>
      <c r="BA21" s="620">
        <f t="shared" si="4"/>
        <v>5901</v>
      </c>
      <c r="BB21" s="31">
        <f t="shared" si="5"/>
        <v>34</v>
      </c>
      <c r="BC21" s="455">
        <f>IFERROR(Tabelle24[[#This Row],[€ Max.]]/Tabelle24[[#This Row],[Backer Max.]],"")</f>
        <v>173.55882352941177</v>
      </c>
      <c r="BD21" s="42"/>
      <c r="BE21" s="42"/>
      <c r="BF21" s="42"/>
      <c r="BG21" s="150"/>
      <c r="BH21" s="150"/>
      <c r="BI21" s="42"/>
      <c r="BJ21" s="42"/>
      <c r="BK21" s="23"/>
      <c r="BL21" s="23"/>
      <c r="BM21" s="23"/>
      <c r="BN21" s="23"/>
      <c r="BO21" s="23"/>
      <c r="BP21" s="23"/>
      <c r="BQ21" s="23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</row>
    <row r="22" spans="1:104" s="2" customFormat="1" ht="18.75" customHeight="1" x14ac:dyDescent="0.25">
      <c r="A22" s="95"/>
      <c r="B22" s="856"/>
      <c r="C22" s="189"/>
      <c r="D22" s="849"/>
      <c r="E22" s="850"/>
      <c r="F22" s="851"/>
      <c r="G22" s="111"/>
      <c r="H22" s="531" t="str">
        <f t="shared" si="6"/>
        <v>Erreicht</v>
      </c>
      <c r="I22" s="532">
        <f t="shared" si="10"/>
        <v>7</v>
      </c>
      <c r="J22" s="533" t="s">
        <v>578</v>
      </c>
      <c r="K22" s="534"/>
      <c r="L22" s="534"/>
      <c r="M22" s="534"/>
      <c r="N22" s="534"/>
      <c r="O22" s="535">
        <f t="shared" si="11"/>
        <v>90000</v>
      </c>
      <c r="P22" s="532" t="str">
        <f t="shared" si="7"/>
        <v>an Tag 1</v>
      </c>
      <c r="Q22" s="532" t="str">
        <f t="shared" si="8"/>
        <v/>
      </c>
      <c r="R22" s="757" t="str">
        <f t="shared" si="9"/>
        <v/>
      </c>
      <c r="S22" s="533" t="s">
        <v>572</v>
      </c>
      <c r="T22" s="533"/>
      <c r="U22" s="534"/>
      <c r="V22" s="534"/>
      <c r="W22" s="788"/>
      <c r="X22" s="111"/>
      <c r="Y22" s="95"/>
      <c r="Z22" s="95"/>
      <c r="AA22" s="95"/>
      <c r="AB22" s="95"/>
      <c r="AC22" s="95"/>
      <c r="AD22" s="95"/>
      <c r="AE22" s="95"/>
      <c r="AF22" s="95"/>
      <c r="AG22" s="95"/>
      <c r="AH22" s="686">
        <f>Einkaufsführer!$Q$3</f>
        <v>0</v>
      </c>
      <c r="AI22" s="190">
        <v>0</v>
      </c>
      <c r="AJ22" s="23"/>
      <c r="AK22" s="35"/>
      <c r="AL22" s="23"/>
      <c r="AM22" s="23"/>
      <c r="AN22" s="23"/>
      <c r="AO22" s="23"/>
      <c r="AP22" s="23"/>
      <c r="AQ22" s="23"/>
      <c r="AR22" s="23"/>
      <c r="AS22" s="70" t="s">
        <v>56</v>
      </c>
      <c r="AT22" s="618">
        <v>11</v>
      </c>
      <c r="AU22" s="622">
        <f t="shared" si="0"/>
        <v>5166</v>
      </c>
      <c r="AV22" s="31">
        <f t="shared" si="1"/>
        <v>27</v>
      </c>
      <c r="AW22" s="623">
        <f>IFERROR(Tabelle24[[#This Row],[€]]/Tabelle24[[#This Row],[Backer]],"")</f>
        <v>191.33333333333334</v>
      </c>
      <c r="AX22" s="622">
        <f t="shared" si="2"/>
        <v>5166</v>
      </c>
      <c r="AY22" s="31">
        <f t="shared" si="3"/>
        <v>27</v>
      </c>
      <c r="AZ22" s="623">
        <f>IFERROR(Tabelle24[[#This Row],[€ Min.]]/Tabelle24[[#This Row],[Backer Min.]],"")</f>
        <v>191.33333333333334</v>
      </c>
      <c r="BA22" s="620">
        <f t="shared" si="4"/>
        <v>5166</v>
      </c>
      <c r="BB22" s="31">
        <f t="shared" si="5"/>
        <v>27</v>
      </c>
      <c r="BC22" s="455">
        <f>IFERROR(Tabelle24[[#This Row],[€ Max.]]/Tabelle24[[#This Row],[Backer Max.]],"")</f>
        <v>191.33333333333334</v>
      </c>
      <c r="BD22" s="42"/>
      <c r="BE22" s="42"/>
      <c r="BF22" s="42"/>
      <c r="BG22" s="150"/>
      <c r="BH22" s="150"/>
      <c r="BI22" s="42"/>
      <c r="BJ22" s="42"/>
      <c r="BK22" s="23"/>
      <c r="BL22" s="23"/>
      <c r="BM22" s="23"/>
      <c r="BN22" s="23"/>
      <c r="BO22" s="23"/>
      <c r="BP22" s="23"/>
      <c r="BQ22" s="23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</row>
    <row r="23" spans="1:104" s="2" customFormat="1" ht="18.75" customHeight="1" x14ac:dyDescent="0.25">
      <c r="A23" s="95"/>
      <c r="B23" s="856"/>
      <c r="C23" s="189"/>
      <c r="D23" s="852" t="str">
        <f>"Erreichte Bonusziele: "&amp;AI7&amp;", bis: '"&amp;VLOOKUP(AI7,$I$16:$J$51,2,FALSE)&amp;"'"</f>
        <v>Erreichte Bonusziele: 22, bis: 'Herbarium Extended'</v>
      </c>
      <c r="E23" s="853"/>
      <c r="F23" s="854"/>
      <c r="G23" s="111"/>
      <c r="H23" s="531" t="str">
        <f t="shared" si="6"/>
        <v>Erreicht</v>
      </c>
      <c r="I23" s="532">
        <f t="shared" si="10"/>
        <v>8</v>
      </c>
      <c r="J23" s="533" t="s">
        <v>579</v>
      </c>
      <c r="K23" s="534"/>
      <c r="L23" s="534"/>
      <c r="M23" s="534"/>
      <c r="N23" s="534"/>
      <c r="O23" s="535">
        <f t="shared" si="11"/>
        <v>100000</v>
      </c>
      <c r="P23" s="532" t="str">
        <f t="shared" si="7"/>
        <v>an Tag 1</v>
      </c>
      <c r="Q23" s="532" t="str">
        <f t="shared" si="8"/>
        <v/>
      </c>
      <c r="R23" s="757" t="str">
        <f t="shared" si="9"/>
        <v/>
      </c>
      <c r="S23" s="533" t="s">
        <v>572</v>
      </c>
      <c r="T23" s="533"/>
      <c r="U23" s="534"/>
      <c r="V23" s="534"/>
      <c r="W23" s="788"/>
      <c r="X23" s="111"/>
      <c r="Y23" s="95"/>
      <c r="Z23" s="95"/>
      <c r="AA23" s="95"/>
      <c r="AB23" s="95"/>
      <c r="AC23" s="95"/>
      <c r="AD23" s="95"/>
      <c r="AE23" s="95"/>
      <c r="AF23" s="95"/>
      <c r="AG23" s="95"/>
      <c r="AH23" s="686" t="str">
        <f>Einkaufsführer!$R$3</f>
        <v>Spiel-material Bundle</v>
      </c>
      <c r="AI23" s="190">
        <v>309</v>
      </c>
      <c r="AJ23" s="23"/>
      <c r="AK23" s="35"/>
      <c r="AL23" s="23"/>
      <c r="AM23" s="23"/>
      <c r="AN23" s="23"/>
      <c r="AO23" s="23"/>
      <c r="AP23" s="23"/>
      <c r="AQ23" s="23"/>
      <c r="AR23" s="29"/>
      <c r="AS23" s="85" t="s">
        <v>54</v>
      </c>
      <c r="AT23" s="618">
        <v>7</v>
      </c>
      <c r="AU23" s="624">
        <f t="shared" si="0"/>
        <v>4615</v>
      </c>
      <c r="AV23" s="456">
        <f t="shared" si="1"/>
        <v>26</v>
      </c>
      <c r="AW23" s="625">
        <f>IFERROR(Tabelle24[[#This Row],[€]]/Tabelle24[[#This Row],[Backer]],"")</f>
        <v>177.5</v>
      </c>
      <c r="AX23" s="622">
        <f t="shared" si="2"/>
        <v>4615</v>
      </c>
      <c r="AY23" s="31">
        <f t="shared" si="3"/>
        <v>26</v>
      </c>
      <c r="AZ23" s="623">
        <f>IFERROR(Tabelle24[[#This Row],[€ Min.]]/Tabelle24[[#This Row],[Backer Min.]],"")</f>
        <v>177.5</v>
      </c>
      <c r="BA23" s="620">
        <f t="shared" si="4"/>
        <v>4615</v>
      </c>
      <c r="BB23" s="31">
        <f t="shared" si="5"/>
        <v>26</v>
      </c>
      <c r="BC23" s="455">
        <f>IFERROR(Tabelle24[[#This Row],[€ Max.]]/Tabelle24[[#This Row],[Backer Max.]],"")</f>
        <v>177.5</v>
      </c>
      <c r="BD23" s="42"/>
      <c r="BE23" s="42"/>
      <c r="BF23" s="42"/>
      <c r="BG23" s="150"/>
      <c r="BH23" s="150"/>
      <c r="BI23" s="42"/>
      <c r="BJ23" s="42"/>
      <c r="BK23" s="29"/>
      <c r="BL23" s="29"/>
      <c r="BM23" s="29"/>
      <c r="BN23" s="29"/>
      <c r="BO23" s="29"/>
      <c r="BP23" s="29"/>
      <c r="BQ23" s="29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</row>
    <row r="24" spans="1:104" s="36" customFormat="1" ht="18.75" customHeight="1" x14ac:dyDescent="0.25">
      <c r="A24" s="96"/>
      <c r="B24" s="856"/>
      <c r="C24" s="189"/>
      <c r="D24" s="1033" t="str">
        <f>"Noch "&amp;TEXT(AI9-AI8,"#.##0")&amp;" € bis zum "&amp;AI7+1&amp;". Ziel: '"&amp;VLOOKUP(AI7+1,$I$16:$J$51,2,FALSE)&amp;"' bei "&amp;TEXT(AI9,"#.##0 €")</f>
        <v>Noch -331.726 € bis zum 23. Ziel: 'noch unbekannt' bei 0 €</v>
      </c>
      <c r="E24" s="1034"/>
      <c r="F24" s="1035"/>
      <c r="G24" s="111"/>
      <c r="H24" s="531" t="str">
        <f t="shared" si="6"/>
        <v>Erreicht</v>
      </c>
      <c r="I24" s="532">
        <f t="shared" si="10"/>
        <v>9</v>
      </c>
      <c r="J24" s="533" t="s">
        <v>580</v>
      </c>
      <c r="K24" s="534"/>
      <c r="L24" s="534"/>
      <c r="M24" s="534"/>
      <c r="N24" s="534"/>
      <c r="O24" s="535">
        <f t="shared" si="11"/>
        <v>110000</v>
      </c>
      <c r="P24" s="532" t="str">
        <f t="shared" si="7"/>
        <v>an Tag 1</v>
      </c>
      <c r="Q24" s="532" t="str">
        <f t="shared" si="8"/>
        <v/>
      </c>
      <c r="R24" s="757" t="str">
        <f t="shared" si="9"/>
        <v/>
      </c>
      <c r="S24" s="533" t="s">
        <v>572</v>
      </c>
      <c r="T24" s="533"/>
      <c r="U24" s="534"/>
      <c r="V24" s="534"/>
      <c r="W24" s="788"/>
      <c r="X24" s="111"/>
      <c r="Y24" s="95"/>
      <c r="Z24" s="111"/>
      <c r="AA24" s="111"/>
      <c r="AB24" s="111"/>
      <c r="AC24" s="111"/>
      <c r="AD24" s="111"/>
      <c r="AE24" s="111"/>
      <c r="AF24" s="111"/>
      <c r="AG24" s="111"/>
      <c r="AH24" s="686" t="str">
        <f>Einkaufsführer!$S$3</f>
        <v>Spiel-material Bun. Deluxe</v>
      </c>
      <c r="AI24" s="190">
        <v>37</v>
      </c>
      <c r="AJ24" s="23"/>
      <c r="AK24" s="35">
        <f>AI24*Einkaufsführer!S7</f>
        <v>7215</v>
      </c>
      <c r="AL24" s="23"/>
      <c r="AM24" s="23"/>
      <c r="AN24" s="23"/>
      <c r="AO24" s="23"/>
      <c r="AP24" s="23"/>
      <c r="AQ24" s="23"/>
      <c r="AR24" s="29"/>
      <c r="AS24" s="70" t="s">
        <v>55</v>
      </c>
      <c r="AT24" s="618">
        <v>13</v>
      </c>
      <c r="AU24" s="622">
        <f t="shared" si="0"/>
        <v>4494</v>
      </c>
      <c r="AV24" s="31">
        <f t="shared" si="1"/>
        <v>22</v>
      </c>
      <c r="AW24" s="623">
        <f>IFERROR(Tabelle24[[#This Row],[€]]/Tabelle24[[#This Row],[Backer]],"")</f>
        <v>204.27272727272728</v>
      </c>
      <c r="AX24" s="622">
        <f t="shared" si="2"/>
        <v>4494</v>
      </c>
      <c r="AY24" s="31">
        <f t="shared" si="3"/>
        <v>22</v>
      </c>
      <c r="AZ24" s="623">
        <f>IFERROR(Tabelle24[[#This Row],[€ Min.]]/Tabelle24[[#This Row],[Backer Min.]],"")</f>
        <v>204.27272727272728</v>
      </c>
      <c r="BA24" s="620">
        <f t="shared" si="4"/>
        <v>4494</v>
      </c>
      <c r="BB24" s="31">
        <f t="shared" si="5"/>
        <v>22</v>
      </c>
      <c r="BC24" s="455">
        <f>IFERROR(Tabelle24[[#This Row],[€ Max.]]/Tabelle24[[#This Row],[Backer Max.]],"")</f>
        <v>204.27272727272728</v>
      </c>
      <c r="BD24" s="42"/>
      <c r="BE24" s="42"/>
      <c r="BF24" s="42"/>
      <c r="BG24" s="150"/>
      <c r="BH24" s="150"/>
      <c r="BI24" s="42"/>
      <c r="BJ24" s="42"/>
      <c r="BK24" s="29"/>
      <c r="BL24" s="29"/>
      <c r="BM24" s="29"/>
      <c r="BN24" s="29"/>
      <c r="BO24" s="29"/>
      <c r="BP24" s="29"/>
      <c r="BQ24" s="29"/>
      <c r="BR24" s="95"/>
      <c r="BS24" s="95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</row>
    <row r="25" spans="1:104" s="2" customFormat="1" ht="18.75" customHeight="1" thickBot="1" x14ac:dyDescent="0.3">
      <c r="A25" s="101"/>
      <c r="B25" s="857"/>
      <c r="C25" s="189"/>
      <c r="D25" s="891" t="str">
        <f>"Noch "&amp;TEXT(O47-AI8,"#.##0")&amp;" € bis zum "&amp;"finalen, XX. Ziel: '"&amp;VLOOKUP(I47,$I$16:$J$47,2,FALSE)&amp;"' bei "&amp;TEXT(O47,"#.##0 €")</f>
        <v>Noch -331.726 € bis zum finalen, XX. Ziel: 'noch unbekannt' bei 0 €</v>
      </c>
      <c r="E25" s="892"/>
      <c r="F25" s="893"/>
      <c r="G25" s="111"/>
      <c r="H25" s="531" t="str">
        <f t="shared" si="6"/>
        <v>Erreicht</v>
      </c>
      <c r="I25" s="532">
        <f t="shared" si="10"/>
        <v>10</v>
      </c>
      <c r="J25" s="533" t="s">
        <v>581</v>
      </c>
      <c r="K25" s="534"/>
      <c r="L25" s="534"/>
      <c r="M25" s="534"/>
      <c r="N25" s="534"/>
      <c r="O25" s="535">
        <f t="shared" si="11"/>
        <v>120000</v>
      </c>
      <c r="P25" s="532" t="str">
        <f t="shared" si="7"/>
        <v>an Tag 1</v>
      </c>
      <c r="Q25" s="532" t="str">
        <f t="shared" si="8"/>
        <v/>
      </c>
      <c r="R25" s="757" t="str">
        <f t="shared" si="9"/>
        <v/>
      </c>
      <c r="S25" s="533" t="s">
        <v>572</v>
      </c>
      <c r="T25" s="533"/>
      <c r="U25" s="534"/>
      <c r="V25" s="534"/>
      <c r="W25" s="788"/>
      <c r="X25" s="111"/>
      <c r="Y25" s="95"/>
      <c r="Z25" s="111"/>
      <c r="AA25" s="111"/>
      <c r="AB25" s="111"/>
      <c r="AC25" s="111"/>
      <c r="AD25" s="111"/>
      <c r="AE25" s="111"/>
      <c r="AF25" s="111"/>
      <c r="AG25" s="111"/>
      <c r="AH25" s="686" t="str">
        <f>Einkaufsführer!$T$3</f>
        <v>All-In</v>
      </c>
      <c r="AI25" s="32">
        <v>442</v>
      </c>
      <c r="AJ25" s="23"/>
      <c r="AK25" s="35">
        <f>AI25*Einkaufsführer!T7</f>
        <v>110500</v>
      </c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42"/>
      <c r="AY25" s="23"/>
      <c r="AZ25" s="23"/>
      <c r="BA25" s="23"/>
      <c r="BB25" s="42"/>
      <c r="BC25" s="42"/>
      <c r="BD25" s="42"/>
      <c r="BE25" s="150"/>
      <c r="BF25" s="42"/>
      <c r="BG25" s="42"/>
      <c r="BH25" s="42"/>
      <c r="BI25" s="23"/>
      <c r="BJ25" s="23"/>
      <c r="BK25" s="23"/>
      <c r="BL25" s="23"/>
      <c r="BM25" s="23"/>
      <c r="BN25" s="23"/>
      <c r="BO25" s="23"/>
      <c r="BP25" s="23"/>
      <c r="BQ25" s="23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</row>
    <row r="26" spans="1:104" s="2" customFormat="1" ht="18.75" customHeight="1" thickBot="1" x14ac:dyDescent="0.3">
      <c r="A26" s="101"/>
      <c r="B26" s="186"/>
      <c r="C26" s="111"/>
      <c r="D26" s="95"/>
      <c r="E26" s="111"/>
      <c r="F26" s="111"/>
      <c r="G26" s="111"/>
      <c r="H26" s="531" t="str">
        <f t="shared" si="6"/>
        <v>Erreicht</v>
      </c>
      <c r="I26" s="532">
        <f t="shared" ref="I26:I39" si="12">I25+1</f>
        <v>11</v>
      </c>
      <c r="J26" s="533" t="s">
        <v>582</v>
      </c>
      <c r="K26" s="534"/>
      <c r="L26" s="534"/>
      <c r="M26" s="534"/>
      <c r="N26" s="534"/>
      <c r="O26" s="535">
        <f t="shared" si="11"/>
        <v>130000</v>
      </c>
      <c r="P26" s="532" t="str">
        <f t="shared" si="7"/>
        <v>an Tag 1</v>
      </c>
      <c r="Q26" s="532" t="str">
        <f t="shared" si="8"/>
        <v/>
      </c>
      <c r="R26" s="757" t="str">
        <f t="shared" si="9"/>
        <v/>
      </c>
      <c r="S26" s="533" t="s">
        <v>572</v>
      </c>
      <c r="T26" s="533"/>
      <c r="U26" s="534"/>
      <c r="V26" s="534"/>
      <c r="W26" s="788"/>
      <c r="X26" s="111"/>
      <c r="Y26" s="95"/>
      <c r="Z26" s="111"/>
      <c r="AA26" s="111"/>
      <c r="AB26" s="111"/>
      <c r="AC26" s="111"/>
      <c r="AD26" s="111"/>
      <c r="AE26" s="111"/>
      <c r="AF26" s="111"/>
      <c r="AG26" s="111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42"/>
      <c r="AY26" s="23"/>
      <c r="AZ26" s="23"/>
      <c r="BA26" s="23"/>
      <c r="BB26" s="42"/>
      <c r="BC26" s="42"/>
      <c r="BD26" s="42"/>
      <c r="BE26" s="150"/>
      <c r="BF26" s="42"/>
      <c r="BG26" s="42"/>
      <c r="BH26" s="42"/>
      <c r="BI26" s="23"/>
      <c r="BJ26" s="23"/>
      <c r="BK26" s="23"/>
      <c r="BL26" s="23"/>
      <c r="BM26" s="23"/>
      <c r="BN26" s="23"/>
      <c r="BO26" s="23"/>
      <c r="BP26" s="23"/>
      <c r="BQ26" s="23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95"/>
    </row>
    <row r="27" spans="1:104" s="2" customFormat="1" ht="18.75" customHeight="1" x14ac:dyDescent="0.25">
      <c r="A27" s="101"/>
      <c r="B27" s="855" t="s">
        <v>377</v>
      </c>
      <c r="C27" s="111"/>
      <c r="D27" s="876" t="s">
        <v>417</v>
      </c>
      <c r="E27" s="877"/>
      <c r="F27" s="878"/>
      <c r="G27" s="111"/>
      <c r="H27" s="531" t="str">
        <f t="shared" si="6"/>
        <v>Erreicht</v>
      </c>
      <c r="I27" s="532">
        <f t="shared" si="12"/>
        <v>12</v>
      </c>
      <c r="J27" s="533" t="s">
        <v>583</v>
      </c>
      <c r="K27" s="534"/>
      <c r="L27" s="534"/>
      <c r="M27" s="534"/>
      <c r="N27" s="534"/>
      <c r="O27" s="535">
        <f t="shared" si="11"/>
        <v>140000</v>
      </c>
      <c r="P27" s="532" t="str">
        <f t="shared" si="7"/>
        <v>an Tag 2</v>
      </c>
      <c r="Q27" s="532" t="str">
        <f t="shared" si="8"/>
        <v/>
      </c>
      <c r="R27" s="757" t="str">
        <f t="shared" si="9"/>
        <v/>
      </c>
      <c r="S27" s="533" t="s">
        <v>572</v>
      </c>
      <c r="T27" s="533"/>
      <c r="U27" s="534"/>
      <c r="V27" s="534"/>
      <c r="W27" s="788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23"/>
      <c r="AI27" s="23"/>
      <c r="AJ27" s="3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42"/>
      <c r="AY27" s="23"/>
      <c r="AZ27" s="23"/>
      <c r="BA27" s="23"/>
      <c r="BB27" s="42"/>
      <c r="BC27" s="42"/>
      <c r="BD27" s="42"/>
      <c r="BE27" s="150"/>
      <c r="BF27" s="42"/>
      <c r="BG27" s="42"/>
      <c r="BH27" s="42"/>
      <c r="BI27" s="23"/>
      <c r="BJ27" s="23"/>
      <c r="BK27" s="23"/>
      <c r="BL27" s="23"/>
      <c r="BM27" s="23"/>
      <c r="BN27" s="23"/>
      <c r="BO27" s="23"/>
      <c r="BP27" s="23"/>
      <c r="BQ27" s="23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</row>
    <row r="28" spans="1:104" s="2" customFormat="1" ht="18.75" customHeight="1" x14ac:dyDescent="0.25">
      <c r="A28" s="101"/>
      <c r="B28" s="856"/>
      <c r="C28" s="111"/>
      <c r="D28" s="879"/>
      <c r="E28" s="880"/>
      <c r="F28" s="881"/>
      <c r="G28" s="111"/>
      <c r="H28" s="531" t="str">
        <f t="shared" si="6"/>
        <v>Erreicht</v>
      </c>
      <c r="I28" s="532">
        <f t="shared" si="12"/>
        <v>13</v>
      </c>
      <c r="J28" s="533" t="s">
        <v>584</v>
      </c>
      <c r="K28" s="534"/>
      <c r="L28" s="534"/>
      <c r="M28" s="534"/>
      <c r="N28" s="534"/>
      <c r="O28" s="535">
        <f t="shared" si="11"/>
        <v>150000</v>
      </c>
      <c r="P28" s="532" t="str">
        <f t="shared" si="7"/>
        <v>an Tag 2</v>
      </c>
      <c r="Q28" s="532" t="str">
        <f t="shared" si="8"/>
        <v/>
      </c>
      <c r="R28" s="757" t="str">
        <f t="shared" si="9"/>
        <v/>
      </c>
      <c r="S28" s="533" t="s">
        <v>585</v>
      </c>
      <c r="T28" s="533"/>
      <c r="U28" s="534"/>
      <c r="V28" s="534"/>
      <c r="W28" s="788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23"/>
      <c r="AI28" s="23"/>
      <c r="AJ28" s="3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42"/>
      <c r="AY28" s="23"/>
      <c r="AZ28" s="23"/>
      <c r="BA28" s="23"/>
      <c r="BB28" s="42"/>
      <c r="BC28" s="42"/>
      <c r="BD28" s="42"/>
      <c r="BE28" s="150"/>
      <c r="BF28" s="42"/>
      <c r="BG28" s="42"/>
      <c r="BH28" s="42"/>
      <c r="BI28" s="23"/>
      <c r="BJ28" s="23"/>
      <c r="BK28" s="23"/>
      <c r="BL28" s="23"/>
      <c r="BM28" s="23"/>
      <c r="BN28" s="23"/>
      <c r="BO28" s="23"/>
      <c r="BP28" s="23"/>
      <c r="BQ28" s="23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</row>
    <row r="29" spans="1:104" s="2" customFormat="1" ht="18.75" customHeight="1" thickBot="1" x14ac:dyDescent="0.3">
      <c r="A29" s="101"/>
      <c r="B29" s="856"/>
      <c r="C29" s="111"/>
      <c r="D29" s="882"/>
      <c r="E29" s="883"/>
      <c r="F29" s="884"/>
      <c r="G29" s="111"/>
      <c r="H29" s="531" t="str">
        <f t="shared" si="6"/>
        <v>Erreicht</v>
      </c>
      <c r="I29" s="532">
        <f t="shared" si="12"/>
        <v>14</v>
      </c>
      <c r="J29" s="533" t="s">
        <v>586</v>
      </c>
      <c r="K29" s="534"/>
      <c r="L29" s="534"/>
      <c r="M29" s="534"/>
      <c r="N29" s="534"/>
      <c r="O29" s="535">
        <f t="shared" si="11"/>
        <v>160000</v>
      </c>
      <c r="P29" s="532" t="str">
        <f t="shared" si="7"/>
        <v>an Tag 3</v>
      </c>
      <c r="Q29" s="532" t="str">
        <f t="shared" si="8"/>
        <v/>
      </c>
      <c r="R29" s="757" t="str">
        <f t="shared" si="9"/>
        <v/>
      </c>
      <c r="S29" s="533" t="s">
        <v>572</v>
      </c>
      <c r="T29" s="533"/>
      <c r="U29" s="534"/>
      <c r="V29" s="534"/>
      <c r="W29" s="788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23"/>
      <c r="AI29" s="23"/>
      <c r="AJ29" s="3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42"/>
      <c r="BC29" s="42"/>
      <c r="BD29" s="42"/>
      <c r="BE29" s="150"/>
      <c r="BF29" s="42"/>
      <c r="BG29" s="42"/>
      <c r="BH29" s="42"/>
      <c r="BI29" s="23"/>
      <c r="BJ29" s="23"/>
      <c r="BK29" s="23"/>
      <c r="BL29" s="23"/>
      <c r="BM29" s="23"/>
      <c r="BN29" s="23"/>
      <c r="BO29" s="23"/>
      <c r="BP29" s="23"/>
      <c r="BQ29" s="23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</row>
    <row r="30" spans="1:104" s="2" customFormat="1" ht="18.75" customHeight="1" thickBot="1" x14ac:dyDescent="0.3">
      <c r="A30" s="101"/>
      <c r="B30" s="856"/>
      <c r="C30" s="111"/>
      <c r="D30" s="111"/>
      <c r="E30" s="111"/>
      <c r="F30" s="111"/>
      <c r="G30" s="111"/>
      <c r="H30" s="531" t="str">
        <f t="shared" si="6"/>
        <v>Erreicht</v>
      </c>
      <c r="I30" s="532">
        <f t="shared" si="12"/>
        <v>15</v>
      </c>
      <c r="J30" s="533" t="s">
        <v>587</v>
      </c>
      <c r="K30" s="534"/>
      <c r="L30" s="534"/>
      <c r="M30" s="534"/>
      <c r="N30" s="534"/>
      <c r="O30" s="535">
        <f t="shared" si="11"/>
        <v>170000</v>
      </c>
      <c r="P30" s="532" t="str">
        <f t="shared" si="7"/>
        <v>an Tag 4</v>
      </c>
      <c r="Q30" s="532" t="str">
        <f t="shared" si="8"/>
        <v/>
      </c>
      <c r="R30" s="757" t="str">
        <f t="shared" si="9"/>
        <v/>
      </c>
      <c r="S30" s="533" t="s">
        <v>572</v>
      </c>
      <c r="T30" s="533"/>
      <c r="U30" s="534"/>
      <c r="V30" s="534"/>
      <c r="W30" s="788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23"/>
      <c r="AI30" s="23"/>
      <c r="AJ30" s="3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42"/>
      <c r="BC30" s="42"/>
      <c r="BD30" s="42"/>
      <c r="BE30" s="150"/>
      <c r="BF30" s="42"/>
      <c r="BG30" s="42"/>
      <c r="BH30" s="42"/>
      <c r="BI30" s="23"/>
      <c r="BJ30" s="23"/>
      <c r="BK30" s="23"/>
      <c r="BL30" s="23"/>
      <c r="BM30" s="23"/>
      <c r="BN30" s="23"/>
      <c r="BO30" s="23"/>
      <c r="BP30" s="23"/>
      <c r="BQ30" s="23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95"/>
    </row>
    <row r="31" spans="1:104" s="2" customFormat="1" ht="18.75" customHeight="1" x14ac:dyDescent="0.25">
      <c r="A31" s="101"/>
      <c r="B31" s="856"/>
      <c r="C31" s="111"/>
      <c r="D31" s="867" t="s">
        <v>416</v>
      </c>
      <c r="E31" s="868"/>
      <c r="F31" s="869"/>
      <c r="G31" s="111"/>
      <c r="H31" s="531" t="str">
        <f>IF(O31&lt;$AI$8,"Erreicht",IF(J31&lt;&gt;"noch unbekannt","Offengelegt","Geheim"))</f>
        <v>Erreicht</v>
      </c>
      <c r="I31" s="532">
        <f t="shared" si="12"/>
        <v>16</v>
      </c>
      <c r="J31" s="533" t="s">
        <v>588</v>
      </c>
      <c r="K31" s="534"/>
      <c r="L31" s="534"/>
      <c r="M31" s="534"/>
      <c r="N31" s="534"/>
      <c r="O31" s="535">
        <f t="shared" si="11"/>
        <v>180000</v>
      </c>
      <c r="P31" s="532" t="str">
        <f t="shared" si="7"/>
        <v>an Tag 5</v>
      </c>
      <c r="Q31" s="532" t="str">
        <f t="shared" si="8"/>
        <v/>
      </c>
      <c r="R31" s="757" t="str">
        <f t="shared" si="9"/>
        <v/>
      </c>
      <c r="S31" s="533" t="s">
        <v>572</v>
      </c>
      <c r="T31" s="533"/>
      <c r="U31" s="534"/>
      <c r="V31" s="534"/>
      <c r="W31" s="788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23"/>
      <c r="AI31" s="23"/>
      <c r="AJ31" s="3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42"/>
      <c r="BC31" s="42"/>
      <c r="BD31" s="42"/>
      <c r="BE31" s="150"/>
      <c r="BF31" s="42"/>
      <c r="BG31" s="42"/>
      <c r="BH31" s="42"/>
      <c r="BI31" s="23"/>
      <c r="BJ31" s="23"/>
      <c r="BK31" s="23"/>
      <c r="BL31" s="23"/>
      <c r="BM31" s="23"/>
      <c r="BN31" s="23"/>
      <c r="BO31" s="23"/>
      <c r="BP31" s="23"/>
      <c r="BQ31" s="23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</row>
    <row r="32" spans="1:104" s="408" customFormat="1" ht="18.75" customHeight="1" x14ac:dyDescent="0.25">
      <c r="A32" s="404"/>
      <c r="B32" s="856"/>
      <c r="C32" s="111"/>
      <c r="D32" s="870"/>
      <c r="E32" s="871"/>
      <c r="F32" s="872"/>
      <c r="G32" s="111"/>
      <c r="H32" s="531" t="str">
        <f t="shared" ref="H32:H47" si="13">IF(O32&lt;$AI$8,"Erreicht",IF(J32&lt;&gt;"noch unbekannt","Offengelegt","Geheim"))</f>
        <v>Erreicht</v>
      </c>
      <c r="I32" s="532">
        <f t="shared" si="12"/>
        <v>17</v>
      </c>
      <c r="J32" s="685" t="s">
        <v>589</v>
      </c>
      <c r="K32" s="534"/>
      <c r="L32" s="534"/>
      <c r="M32" s="534"/>
      <c r="N32" s="534"/>
      <c r="O32" s="535">
        <f t="shared" si="11"/>
        <v>190000</v>
      </c>
      <c r="P32" s="532" t="str">
        <f t="shared" si="7"/>
        <v>an Tag 6</v>
      </c>
      <c r="Q32" s="532" t="str">
        <f t="shared" si="8"/>
        <v/>
      </c>
      <c r="R32" s="757" t="str">
        <f t="shared" si="9"/>
        <v/>
      </c>
      <c r="S32" s="533" t="s">
        <v>572</v>
      </c>
      <c r="T32" s="533"/>
      <c r="U32" s="534"/>
      <c r="V32" s="534"/>
      <c r="W32" s="788"/>
      <c r="X32" s="422"/>
      <c r="Y32" s="422"/>
      <c r="Z32" s="422"/>
      <c r="AA32" s="422"/>
      <c r="AB32" s="422"/>
      <c r="AC32" s="422"/>
      <c r="AD32" s="422"/>
      <c r="AE32" s="422"/>
      <c r="AF32" s="422"/>
      <c r="AG32" s="422"/>
      <c r="AH32" s="407"/>
      <c r="AI32" s="407"/>
      <c r="AJ32" s="406"/>
      <c r="AK32" s="405"/>
      <c r="AL32" s="405"/>
      <c r="AM32" s="405"/>
      <c r="AN32" s="405"/>
      <c r="AO32" s="405"/>
      <c r="AP32" s="405"/>
      <c r="AQ32" s="405"/>
      <c r="AR32" s="405"/>
      <c r="AS32" s="405"/>
      <c r="AT32" s="405"/>
      <c r="AU32" s="405"/>
      <c r="AV32" s="405"/>
      <c r="AW32" s="405"/>
      <c r="AX32" s="405"/>
      <c r="AY32" s="405"/>
      <c r="AZ32" s="405"/>
      <c r="BA32" s="405"/>
      <c r="BB32" s="42"/>
      <c r="BC32" s="42"/>
      <c r="BD32" s="42"/>
      <c r="BE32" s="150"/>
      <c r="BF32" s="42"/>
      <c r="BG32" s="42"/>
      <c r="BH32" s="42"/>
      <c r="BI32" s="405"/>
      <c r="BJ32" s="405"/>
      <c r="BK32" s="405"/>
      <c r="BL32" s="405"/>
      <c r="BM32" s="405"/>
      <c r="BN32" s="405"/>
      <c r="BO32" s="405"/>
      <c r="BP32" s="405"/>
      <c r="BQ32" s="405"/>
      <c r="BR32" s="95"/>
      <c r="BS32" s="95"/>
      <c r="BT32" s="404"/>
      <c r="BU32" s="404"/>
      <c r="BV32" s="404"/>
      <c r="BW32" s="404"/>
      <c r="BX32" s="404"/>
      <c r="BY32" s="404"/>
      <c r="BZ32" s="404"/>
      <c r="CA32" s="404"/>
      <c r="CB32" s="404"/>
      <c r="CC32" s="404"/>
      <c r="CD32" s="404"/>
      <c r="CE32" s="404"/>
      <c r="CF32" s="404"/>
      <c r="CG32" s="404"/>
      <c r="CH32" s="404"/>
      <c r="CI32" s="404"/>
      <c r="CJ32" s="404"/>
      <c r="CK32" s="404"/>
      <c r="CL32" s="404"/>
      <c r="CM32" s="404"/>
      <c r="CN32" s="404"/>
      <c r="CO32" s="404"/>
      <c r="CP32" s="404"/>
      <c r="CQ32" s="404"/>
      <c r="CR32" s="404"/>
      <c r="CS32" s="404"/>
      <c r="CT32" s="404"/>
      <c r="CU32" s="404"/>
      <c r="CV32" s="404"/>
      <c r="CW32" s="404"/>
      <c r="CX32" s="404"/>
    </row>
    <row r="33" spans="1:102" s="408" customFormat="1" ht="18.75" customHeight="1" thickBot="1" x14ac:dyDescent="0.3">
      <c r="A33" s="404"/>
      <c r="B33" s="856"/>
      <c r="C33" s="111"/>
      <c r="D33" s="873"/>
      <c r="E33" s="874"/>
      <c r="F33" s="875"/>
      <c r="G33" s="111"/>
      <c r="H33" s="531" t="str">
        <f t="shared" si="13"/>
        <v>Erreicht</v>
      </c>
      <c r="I33" s="532">
        <f t="shared" si="12"/>
        <v>18</v>
      </c>
      <c r="J33" s="533" t="s">
        <v>590</v>
      </c>
      <c r="K33" s="534"/>
      <c r="L33" s="534"/>
      <c r="M33" s="534"/>
      <c r="N33" s="534"/>
      <c r="O33" s="535">
        <f t="shared" si="11"/>
        <v>200000</v>
      </c>
      <c r="P33" s="532" t="str">
        <f t="shared" si="7"/>
        <v>an Tag 8</v>
      </c>
      <c r="Q33" s="532" t="str">
        <f t="shared" si="8"/>
        <v/>
      </c>
      <c r="R33" s="757" t="str">
        <f t="shared" si="9"/>
        <v/>
      </c>
      <c r="S33" s="533" t="s">
        <v>628</v>
      </c>
      <c r="T33" s="533"/>
      <c r="U33" s="534"/>
      <c r="V33" s="534"/>
      <c r="W33" s="788"/>
      <c r="X33" s="422"/>
      <c r="Y33" s="422"/>
      <c r="Z33" s="422"/>
      <c r="AA33" s="422"/>
      <c r="AB33" s="422"/>
      <c r="AC33" s="422"/>
      <c r="AD33" s="422"/>
      <c r="AE33" s="422"/>
      <c r="AF33" s="422"/>
      <c r="AG33" s="422"/>
      <c r="AH33" s="407"/>
      <c r="AI33" s="407"/>
      <c r="AJ33" s="406"/>
      <c r="AK33" s="405"/>
      <c r="AL33" s="405"/>
      <c r="AM33" s="405"/>
      <c r="AN33" s="405"/>
      <c r="AO33" s="405"/>
      <c r="AP33" s="405"/>
      <c r="AQ33" s="405"/>
      <c r="AR33" s="405"/>
      <c r="AS33" s="405"/>
      <c r="AT33" s="405"/>
      <c r="AU33" s="405"/>
      <c r="AV33" s="405"/>
      <c r="AW33" s="405"/>
      <c r="AX33" s="405"/>
      <c r="AY33" s="405"/>
      <c r="AZ33" s="405"/>
      <c r="BA33" s="405"/>
      <c r="BB33" s="42"/>
      <c r="BC33" s="42"/>
      <c r="BD33" s="42"/>
      <c r="BE33" s="150"/>
      <c r="BF33" s="42"/>
      <c r="BG33" s="42"/>
      <c r="BH33" s="42"/>
      <c r="BI33" s="405"/>
      <c r="BJ33" s="405"/>
      <c r="BK33" s="405"/>
      <c r="BL33" s="405"/>
      <c r="BM33" s="405"/>
      <c r="BN33" s="405"/>
      <c r="BO33" s="405"/>
      <c r="BP33" s="405"/>
      <c r="BQ33" s="405"/>
      <c r="BR33" s="404"/>
      <c r="BS33" s="95"/>
      <c r="BT33" s="404"/>
      <c r="BU33" s="404"/>
      <c r="BV33" s="404"/>
      <c r="BW33" s="404"/>
      <c r="BX33" s="404"/>
      <c r="BY33" s="404"/>
      <c r="BZ33" s="404"/>
      <c r="CA33" s="404"/>
      <c r="CB33" s="404"/>
      <c r="CC33" s="404"/>
      <c r="CD33" s="404"/>
      <c r="CE33" s="404"/>
      <c r="CF33" s="404"/>
      <c r="CG33" s="404"/>
      <c r="CH33" s="404"/>
      <c r="CI33" s="404"/>
      <c r="CJ33" s="404"/>
      <c r="CK33" s="404"/>
      <c r="CL33" s="404"/>
      <c r="CM33" s="404"/>
      <c r="CN33" s="404"/>
      <c r="CO33" s="404"/>
      <c r="CP33" s="404"/>
      <c r="CQ33" s="404"/>
      <c r="CR33" s="404"/>
      <c r="CS33" s="404"/>
      <c r="CT33" s="404"/>
      <c r="CU33" s="404"/>
      <c r="CV33" s="404"/>
      <c r="CW33" s="404"/>
      <c r="CX33" s="404"/>
    </row>
    <row r="34" spans="1:102" s="408" customFormat="1" ht="18.75" customHeight="1" thickBot="1" x14ac:dyDescent="0.35">
      <c r="A34" s="404"/>
      <c r="B34" s="856"/>
      <c r="C34" s="111"/>
      <c r="D34" s="95"/>
      <c r="E34" s="111"/>
      <c r="F34" s="181"/>
      <c r="G34" s="111"/>
      <c r="H34" s="531" t="str">
        <f t="shared" si="13"/>
        <v>Erreicht</v>
      </c>
      <c r="I34" s="532">
        <f t="shared" si="12"/>
        <v>19</v>
      </c>
      <c r="J34" s="533" t="s">
        <v>665</v>
      </c>
      <c r="K34" s="534"/>
      <c r="L34" s="534"/>
      <c r="M34" s="534"/>
      <c r="N34" s="534"/>
      <c r="O34" s="535">
        <f>O33+25000</f>
        <v>225000</v>
      </c>
      <c r="P34" s="532" t="str">
        <f t="shared" si="7"/>
        <v>an Tag 11</v>
      </c>
      <c r="Q34" s="532" t="str">
        <f t="shared" si="8"/>
        <v/>
      </c>
      <c r="R34" s="757" t="str">
        <f t="shared" si="9"/>
        <v/>
      </c>
      <c r="S34" s="533" t="s">
        <v>572</v>
      </c>
      <c r="T34" s="533"/>
      <c r="U34" s="534"/>
      <c r="V34" s="534"/>
      <c r="W34" s="788"/>
      <c r="X34" s="422"/>
      <c r="Y34" s="422"/>
      <c r="Z34" s="422"/>
      <c r="AA34" s="422"/>
      <c r="AB34" s="422"/>
      <c r="AC34" s="422"/>
      <c r="AD34" s="422"/>
      <c r="AE34" s="422"/>
      <c r="AF34" s="422"/>
      <c r="AG34" s="422"/>
      <c r="AH34" s="407"/>
      <c r="AI34" s="407"/>
      <c r="AJ34" s="406"/>
      <c r="AK34" s="405"/>
      <c r="AL34" s="405"/>
      <c r="AM34" s="405"/>
      <c r="AN34" s="405"/>
      <c r="AO34" s="405"/>
      <c r="AP34" s="405"/>
      <c r="AQ34" s="405"/>
      <c r="AR34" s="405"/>
      <c r="AS34" s="405"/>
      <c r="AT34" s="405"/>
      <c r="AU34" s="405"/>
      <c r="AV34" s="405"/>
      <c r="AW34" s="405"/>
      <c r="AX34" s="405"/>
      <c r="AY34" s="405"/>
      <c r="AZ34" s="405"/>
      <c r="BA34" s="405"/>
      <c r="BB34" s="42"/>
      <c r="BC34" s="42"/>
      <c r="BD34" s="42"/>
      <c r="BE34" s="150"/>
      <c r="BF34" s="42"/>
      <c r="BG34" s="42"/>
      <c r="BH34" s="42"/>
      <c r="BI34" s="405"/>
      <c r="BJ34" s="405"/>
      <c r="BK34" s="405"/>
      <c r="BL34" s="405"/>
      <c r="BM34" s="405"/>
      <c r="BN34" s="405"/>
      <c r="BO34" s="405"/>
      <c r="BP34" s="405"/>
      <c r="BQ34" s="405"/>
      <c r="BR34" s="404"/>
      <c r="BS34" s="95"/>
      <c r="BT34" s="404"/>
      <c r="BU34" s="404"/>
      <c r="BV34" s="404"/>
      <c r="BW34" s="404"/>
      <c r="BX34" s="404"/>
      <c r="BY34" s="404"/>
      <c r="BZ34" s="404"/>
      <c r="CA34" s="404"/>
      <c r="CB34" s="404"/>
      <c r="CC34" s="404"/>
      <c r="CD34" s="404"/>
      <c r="CE34" s="404"/>
      <c r="CF34" s="404"/>
      <c r="CG34" s="404"/>
      <c r="CH34" s="404"/>
      <c r="CI34" s="404"/>
      <c r="CJ34" s="404"/>
      <c r="CK34" s="404"/>
      <c r="CL34" s="404"/>
      <c r="CM34" s="404"/>
      <c r="CN34" s="404"/>
      <c r="CO34" s="404"/>
      <c r="CP34" s="404"/>
      <c r="CQ34" s="404"/>
      <c r="CR34" s="404"/>
      <c r="CS34" s="404"/>
      <c r="CT34" s="404"/>
      <c r="CU34" s="404"/>
      <c r="CV34" s="404"/>
      <c r="CW34" s="404"/>
      <c r="CX34" s="404"/>
    </row>
    <row r="35" spans="1:102" s="408" customFormat="1" ht="18.75" customHeight="1" x14ac:dyDescent="0.25">
      <c r="A35" s="404"/>
      <c r="B35" s="856"/>
      <c r="C35" s="111"/>
      <c r="D35" s="858" t="s">
        <v>669</v>
      </c>
      <c r="E35" s="859"/>
      <c r="F35" s="860"/>
      <c r="G35" s="111"/>
      <c r="H35" s="531" t="str">
        <f t="shared" si="13"/>
        <v>Erreicht</v>
      </c>
      <c r="I35" s="532">
        <f t="shared" si="12"/>
        <v>20</v>
      </c>
      <c r="J35" s="533" t="s">
        <v>666</v>
      </c>
      <c r="K35" s="534"/>
      <c r="L35" s="534"/>
      <c r="M35" s="534"/>
      <c r="N35" s="534"/>
      <c r="O35" s="535">
        <f t="shared" ref="O35:O43" si="14">O34+25000</f>
        <v>250000</v>
      </c>
      <c r="P35" s="532" t="str">
        <f t="shared" si="7"/>
        <v>an Tag 15</v>
      </c>
      <c r="Q35" s="532" t="str">
        <f t="shared" si="8"/>
        <v/>
      </c>
      <c r="R35" s="757" t="str">
        <f t="shared" si="9"/>
        <v/>
      </c>
      <c r="S35" s="533" t="s">
        <v>572</v>
      </c>
      <c r="T35" s="533"/>
      <c r="U35" s="534"/>
      <c r="V35" s="534"/>
      <c r="W35" s="788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405"/>
      <c r="AI35" s="405"/>
      <c r="AJ35" s="406"/>
      <c r="AK35" s="405"/>
      <c r="AL35" s="405"/>
      <c r="AM35" s="405"/>
      <c r="AN35" s="405"/>
      <c r="AO35" s="405"/>
      <c r="AP35" s="405"/>
      <c r="AQ35" s="405"/>
      <c r="AR35" s="405"/>
      <c r="AS35" s="405"/>
      <c r="AT35" s="405"/>
      <c r="AU35" s="405"/>
      <c r="AV35" s="405"/>
      <c r="AW35" s="405"/>
      <c r="AX35" s="405"/>
      <c r="AY35" s="405"/>
      <c r="AZ35" s="405"/>
      <c r="BA35" s="405"/>
      <c r="BB35" s="42"/>
      <c r="BC35" s="42"/>
      <c r="BD35" s="42"/>
      <c r="BE35" s="150"/>
      <c r="BF35" s="42"/>
      <c r="BG35" s="42"/>
      <c r="BH35" s="42"/>
      <c r="BI35" s="405"/>
      <c r="BJ35" s="405"/>
      <c r="BK35" s="405"/>
      <c r="BL35" s="405"/>
      <c r="BM35" s="405"/>
      <c r="BN35" s="405"/>
      <c r="BO35" s="405"/>
      <c r="BP35" s="405"/>
      <c r="BQ35" s="405"/>
      <c r="BR35" s="404"/>
      <c r="BS35" s="95"/>
      <c r="BT35" s="404"/>
      <c r="BU35" s="404"/>
      <c r="BV35" s="404"/>
      <c r="BW35" s="404"/>
      <c r="BX35" s="404"/>
      <c r="BY35" s="404"/>
      <c r="BZ35" s="404"/>
      <c r="CA35" s="404"/>
      <c r="CB35" s="404"/>
      <c r="CC35" s="404"/>
      <c r="CD35" s="404"/>
      <c r="CE35" s="404"/>
      <c r="CF35" s="404"/>
      <c r="CG35" s="404"/>
      <c r="CH35" s="404"/>
      <c r="CI35" s="404"/>
      <c r="CJ35" s="404"/>
      <c r="CK35" s="404"/>
      <c r="CL35" s="404"/>
      <c r="CM35" s="404"/>
      <c r="CN35" s="404"/>
      <c r="CO35" s="404"/>
      <c r="CP35" s="404"/>
      <c r="CQ35" s="404"/>
      <c r="CR35" s="404"/>
      <c r="CS35" s="404"/>
      <c r="CT35" s="404"/>
      <c r="CU35" s="404"/>
      <c r="CV35" s="404"/>
      <c r="CW35" s="404"/>
      <c r="CX35" s="404"/>
    </row>
    <row r="36" spans="1:102" s="408" customFormat="1" ht="18.75" customHeight="1" x14ac:dyDescent="0.25">
      <c r="A36" s="404"/>
      <c r="B36" s="856"/>
      <c r="C36" s="111"/>
      <c r="D36" s="861"/>
      <c r="E36" s="862"/>
      <c r="F36" s="863"/>
      <c r="G36" s="111"/>
      <c r="H36" s="531" t="str">
        <f t="shared" si="13"/>
        <v>Erreicht</v>
      </c>
      <c r="I36" s="532">
        <f t="shared" si="12"/>
        <v>21</v>
      </c>
      <c r="J36" s="533" t="s">
        <v>667</v>
      </c>
      <c r="K36" s="534"/>
      <c r="L36" s="534"/>
      <c r="M36" s="534"/>
      <c r="N36" s="534"/>
      <c r="O36" s="535">
        <f t="shared" si="14"/>
        <v>275000</v>
      </c>
      <c r="P36" s="532" t="str">
        <f t="shared" si="7"/>
        <v>an Tag 18</v>
      </c>
      <c r="Q36" s="532" t="str">
        <f t="shared" si="8"/>
        <v/>
      </c>
      <c r="R36" s="757" t="str">
        <f t="shared" si="9"/>
        <v/>
      </c>
      <c r="S36" s="533" t="s">
        <v>572</v>
      </c>
      <c r="T36" s="533"/>
      <c r="U36" s="534"/>
      <c r="V36" s="534"/>
      <c r="W36" s="788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405"/>
      <c r="AI36" s="405"/>
      <c r="AJ36" s="406"/>
      <c r="AK36" s="405"/>
      <c r="AL36" s="405"/>
      <c r="AM36" s="405"/>
      <c r="AN36" s="405"/>
      <c r="AO36" s="405"/>
      <c r="AP36" s="405"/>
      <c r="AQ36" s="405"/>
      <c r="AR36" s="405"/>
      <c r="AS36" s="405"/>
      <c r="AT36" s="405"/>
      <c r="AU36" s="405"/>
      <c r="AV36" s="405"/>
      <c r="AW36" s="405"/>
      <c r="AX36" s="405"/>
      <c r="AY36" s="405"/>
      <c r="AZ36" s="405"/>
      <c r="BA36" s="405"/>
      <c r="BB36" s="42"/>
      <c r="BC36" s="42"/>
      <c r="BD36" s="42"/>
      <c r="BE36" s="150"/>
      <c r="BF36" s="42"/>
      <c r="BG36" s="42"/>
      <c r="BH36" s="42"/>
      <c r="BI36" s="405"/>
      <c r="BJ36" s="405"/>
      <c r="BK36" s="405"/>
      <c r="BL36" s="405"/>
      <c r="BM36" s="405"/>
      <c r="BN36" s="405"/>
      <c r="BO36" s="405"/>
      <c r="BP36" s="405"/>
      <c r="BQ36" s="405"/>
      <c r="BR36" s="404"/>
      <c r="BS36" s="95"/>
      <c r="BT36" s="404"/>
      <c r="BU36" s="404"/>
      <c r="BV36" s="404"/>
      <c r="BW36" s="404"/>
      <c r="BX36" s="404"/>
      <c r="BY36" s="404"/>
      <c r="BZ36" s="404"/>
      <c r="CA36" s="404"/>
      <c r="CB36" s="404"/>
      <c r="CC36" s="404"/>
      <c r="CD36" s="404"/>
      <c r="CE36" s="404"/>
      <c r="CF36" s="404"/>
      <c r="CG36" s="404"/>
      <c r="CH36" s="404"/>
      <c r="CI36" s="404"/>
      <c r="CJ36" s="404"/>
      <c r="CK36" s="404"/>
      <c r="CL36" s="404"/>
      <c r="CM36" s="404"/>
      <c r="CN36" s="404"/>
      <c r="CO36" s="404"/>
      <c r="CP36" s="404"/>
      <c r="CQ36" s="404"/>
      <c r="CR36" s="404"/>
      <c r="CS36" s="404"/>
      <c r="CT36" s="404"/>
      <c r="CU36" s="404"/>
      <c r="CV36" s="404"/>
      <c r="CW36" s="404"/>
      <c r="CX36" s="404"/>
    </row>
    <row r="37" spans="1:102" s="408" customFormat="1" ht="18.75" customHeight="1" thickBot="1" x14ac:dyDescent="0.3">
      <c r="A37" s="404"/>
      <c r="B37" s="856"/>
      <c r="C37" s="111"/>
      <c r="D37" s="861"/>
      <c r="E37" s="862"/>
      <c r="F37" s="863"/>
      <c r="G37" s="111"/>
      <c r="H37" s="531" t="str">
        <f t="shared" si="13"/>
        <v>Erreicht</v>
      </c>
      <c r="I37" s="532">
        <f t="shared" si="12"/>
        <v>22</v>
      </c>
      <c r="J37" s="533" t="s">
        <v>668</v>
      </c>
      <c r="K37" s="534"/>
      <c r="L37" s="534"/>
      <c r="M37" s="534"/>
      <c r="N37" s="534"/>
      <c r="O37" s="535">
        <f t="shared" si="14"/>
        <v>300000</v>
      </c>
      <c r="P37" s="532" t="str">
        <f t="shared" si="7"/>
        <v>an Tag 20</v>
      </c>
      <c r="Q37" s="532" t="str">
        <f t="shared" si="8"/>
        <v/>
      </c>
      <c r="R37" s="757" t="str">
        <f t="shared" si="9"/>
        <v/>
      </c>
      <c r="S37" s="533" t="s">
        <v>572</v>
      </c>
      <c r="T37" s="533"/>
      <c r="U37" s="534"/>
      <c r="V37" s="534"/>
      <c r="W37" s="788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405"/>
      <c r="AI37" s="405"/>
      <c r="AJ37" s="406"/>
      <c r="AK37" s="405"/>
      <c r="AL37" s="405"/>
      <c r="AM37" s="405"/>
      <c r="AN37" s="405"/>
      <c r="AO37" s="405"/>
      <c r="AP37" s="405"/>
      <c r="AQ37" s="405"/>
      <c r="AR37" s="405"/>
      <c r="AS37" s="405"/>
      <c r="AT37" s="405"/>
      <c r="AU37" s="405"/>
      <c r="AV37" s="405"/>
      <c r="AW37" s="405"/>
      <c r="AX37" s="405"/>
      <c r="AY37" s="405"/>
      <c r="AZ37" s="405"/>
      <c r="BA37" s="405"/>
      <c r="BB37" s="42"/>
      <c r="BC37" s="42"/>
      <c r="BD37" s="42"/>
      <c r="BE37" s="150"/>
      <c r="BF37" s="42"/>
      <c r="BG37" s="42"/>
      <c r="BH37" s="42"/>
      <c r="BI37" s="405"/>
      <c r="BJ37" s="405"/>
      <c r="BK37" s="405"/>
      <c r="BL37" s="405"/>
      <c r="BM37" s="405"/>
      <c r="BN37" s="405"/>
      <c r="BO37" s="405"/>
      <c r="BP37" s="405"/>
      <c r="BQ37" s="405"/>
      <c r="BR37" s="404"/>
      <c r="BS37" s="95"/>
      <c r="BT37" s="404"/>
      <c r="BU37" s="404"/>
      <c r="BV37" s="404"/>
      <c r="BW37" s="404"/>
      <c r="BX37" s="404"/>
      <c r="BY37" s="404"/>
      <c r="BZ37" s="404"/>
      <c r="CA37" s="404"/>
      <c r="CB37" s="404"/>
      <c r="CC37" s="404"/>
      <c r="CD37" s="404"/>
      <c r="CE37" s="404"/>
      <c r="CF37" s="404"/>
      <c r="CG37" s="404"/>
      <c r="CH37" s="404"/>
      <c r="CI37" s="404"/>
      <c r="CJ37" s="404"/>
      <c r="CK37" s="404"/>
      <c r="CL37" s="404"/>
      <c r="CM37" s="404"/>
      <c r="CN37" s="404"/>
      <c r="CO37" s="404"/>
      <c r="CP37" s="404"/>
      <c r="CQ37" s="404"/>
      <c r="CR37" s="404"/>
      <c r="CS37" s="404"/>
      <c r="CT37" s="404"/>
      <c r="CU37" s="404"/>
      <c r="CV37" s="404"/>
      <c r="CW37" s="404"/>
      <c r="CX37" s="404"/>
    </row>
    <row r="38" spans="1:102" s="408" customFormat="1" ht="18.75" hidden="1" customHeight="1" outlineLevel="1" x14ac:dyDescent="0.25">
      <c r="A38" s="404"/>
      <c r="B38" s="856"/>
      <c r="C38" s="111"/>
      <c r="D38" s="861"/>
      <c r="E38" s="862"/>
      <c r="F38" s="863"/>
      <c r="G38" s="111"/>
      <c r="H38" s="531" t="str">
        <f t="shared" si="13"/>
        <v>Erreicht</v>
      </c>
      <c r="I38" s="532">
        <f t="shared" si="12"/>
        <v>23</v>
      </c>
      <c r="J38" s="533" t="s">
        <v>418</v>
      </c>
      <c r="K38" s="534"/>
      <c r="L38" s="534"/>
      <c r="M38" s="534"/>
      <c r="N38" s="534"/>
      <c r="O38" s="535"/>
      <c r="P38" s="532" t="str">
        <f t="shared" si="7"/>
        <v>an Tag 1</v>
      </c>
      <c r="Q38" s="532" t="str">
        <f t="shared" si="8"/>
        <v/>
      </c>
      <c r="R38" s="532" t="str">
        <f t="shared" si="9"/>
        <v/>
      </c>
      <c r="S38" s="533"/>
      <c r="T38" s="533"/>
      <c r="U38" s="534"/>
      <c r="V38" s="534"/>
      <c r="W38" s="788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405"/>
      <c r="AI38" s="405"/>
      <c r="AJ38" s="406"/>
      <c r="AK38" s="405"/>
      <c r="AL38" s="405"/>
      <c r="AM38" s="405"/>
      <c r="AN38" s="405"/>
      <c r="AO38" s="405"/>
      <c r="AP38" s="405"/>
      <c r="AQ38" s="405"/>
      <c r="AR38" s="405"/>
      <c r="AS38" s="405"/>
      <c r="AT38" s="405"/>
      <c r="AU38" s="405"/>
      <c r="AV38" s="405"/>
      <c r="AW38" s="405"/>
      <c r="AX38" s="405"/>
      <c r="AY38" s="405"/>
      <c r="AZ38" s="405"/>
      <c r="BA38" s="405"/>
      <c r="BB38" s="405"/>
      <c r="BC38" s="405"/>
      <c r="BD38" s="405"/>
      <c r="BE38" s="405"/>
      <c r="BF38" s="405"/>
      <c r="BG38" s="405"/>
      <c r="BH38" s="405"/>
      <c r="BI38" s="405"/>
      <c r="BJ38" s="405"/>
      <c r="BK38" s="405"/>
      <c r="BL38" s="405"/>
      <c r="BM38" s="405"/>
      <c r="BN38" s="405"/>
      <c r="BO38" s="405"/>
      <c r="BP38" s="405"/>
      <c r="BQ38" s="405"/>
      <c r="BR38" s="404"/>
      <c r="BS38" s="95"/>
      <c r="BT38" s="404"/>
      <c r="BU38" s="404"/>
      <c r="BV38" s="404"/>
      <c r="BW38" s="404"/>
      <c r="BX38" s="404"/>
      <c r="BY38" s="404"/>
      <c r="BZ38" s="404"/>
      <c r="CA38" s="404"/>
      <c r="CB38" s="404"/>
      <c r="CC38" s="404"/>
      <c r="CD38" s="404"/>
      <c r="CE38" s="404"/>
      <c r="CF38" s="404"/>
      <c r="CG38" s="404"/>
      <c r="CH38" s="404"/>
      <c r="CI38" s="404"/>
      <c r="CJ38" s="404"/>
      <c r="CK38" s="404"/>
      <c r="CL38" s="404"/>
      <c r="CM38" s="404"/>
      <c r="CN38" s="404"/>
      <c r="CO38" s="404"/>
      <c r="CP38" s="404"/>
      <c r="CQ38" s="404"/>
      <c r="CR38" s="404"/>
      <c r="CS38" s="404"/>
      <c r="CT38" s="404"/>
      <c r="CU38" s="404"/>
      <c r="CV38" s="404"/>
      <c r="CW38" s="404"/>
      <c r="CX38" s="404"/>
    </row>
    <row r="39" spans="1:102" s="408" customFormat="1" ht="18.75" hidden="1" customHeight="1" outlineLevel="1" x14ac:dyDescent="0.25">
      <c r="A39" s="404"/>
      <c r="B39" s="856"/>
      <c r="C39" s="111"/>
      <c r="D39" s="861"/>
      <c r="E39" s="862"/>
      <c r="F39" s="863"/>
      <c r="G39" s="111"/>
      <c r="H39" s="531" t="str">
        <f t="shared" si="13"/>
        <v>Erreicht</v>
      </c>
      <c r="I39" s="532">
        <f t="shared" si="12"/>
        <v>24</v>
      </c>
      <c r="J39" s="533" t="s">
        <v>418</v>
      </c>
      <c r="K39" s="534"/>
      <c r="L39" s="534"/>
      <c r="M39" s="534"/>
      <c r="N39" s="534"/>
      <c r="O39" s="535"/>
      <c r="P39" s="532" t="str">
        <f t="shared" si="7"/>
        <v>an Tag 1</v>
      </c>
      <c r="Q39" s="532" t="str">
        <f t="shared" si="8"/>
        <v/>
      </c>
      <c r="R39" s="532" t="str">
        <f t="shared" si="9"/>
        <v/>
      </c>
      <c r="S39" s="533"/>
      <c r="T39" s="533"/>
      <c r="U39" s="534"/>
      <c r="V39" s="534"/>
      <c r="W39" s="788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405"/>
      <c r="AI39" s="405"/>
      <c r="AJ39" s="406"/>
      <c r="AK39" s="405"/>
      <c r="AL39" s="405"/>
      <c r="AM39" s="405"/>
      <c r="AN39" s="405"/>
      <c r="AO39" s="405"/>
      <c r="AP39" s="405"/>
      <c r="AQ39" s="405"/>
      <c r="AR39" s="405"/>
      <c r="AS39" s="405"/>
      <c r="AT39" s="405"/>
      <c r="AU39" s="405"/>
      <c r="AV39" s="405"/>
      <c r="AW39" s="405"/>
      <c r="AX39" s="405"/>
      <c r="AY39" s="405"/>
      <c r="AZ39" s="405"/>
      <c r="BA39" s="405"/>
      <c r="BB39" s="405"/>
      <c r="BC39" s="405"/>
      <c r="BD39" s="405"/>
      <c r="BE39" s="405"/>
      <c r="BF39" s="405"/>
      <c r="BG39" s="405"/>
      <c r="BH39" s="405"/>
      <c r="BI39" s="405"/>
      <c r="BJ39" s="405"/>
      <c r="BK39" s="405"/>
      <c r="BL39" s="405"/>
      <c r="BM39" s="405"/>
      <c r="BN39" s="405"/>
      <c r="BO39" s="405"/>
      <c r="BP39" s="405"/>
      <c r="BQ39" s="405"/>
      <c r="BR39" s="404"/>
      <c r="BS39" s="95"/>
      <c r="BT39" s="404"/>
      <c r="BU39" s="404"/>
      <c r="BV39" s="404"/>
      <c r="BW39" s="404"/>
      <c r="BX39" s="404"/>
      <c r="BY39" s="404"/>
      <c r="BZ39" s="404"/>
      <c r="CA39" s="404"/>
      <c r="CB39" s="404"/>
      <c r="CC39" s="404"/>
      <c r="CD39" s="404"/>
      <c r="CE39" s="404"/>
      <c r="CF39" s="404"/>
      <c r="CG39" s="404"/>
      <c r="CH39" s="404"/>
      <c r="CI39" s="404"/>
      <c r="CJ39" s="404"/>
      <c r="CK39" s="404"/>
      <c r="CL39" s="404"/>
      <c r="CM39" s="404"/>
      <c r="CN39" s="404"/>
      <c r="CO39" s="404"/>
      <c r="CP39" s="404"/>
      <c r="CQ39" s="404"/>
      <c r="CR39" s="404"/>
      <c r="CS39" s="404"/>
      <c r="CT39" s="404"/>
      <c r="CU39" s="404"/>
      <c r="CV39" s="404"/>
      <c r="CW39" s="404"/>
      <c r="CX39" s="404"/>
    </row>
    <row r="40" spans="1:102" s="408" customFormat="1" ht="18.75" hidden="1" customHeight="1" outlineLevel="1" x14ac:dyDescent="0.25">
      <c r="A40" s="404"/>
      <c r="B40" s="856"/>
      <c r="C40" s="111"/>
      <c r="D40" s="861"/>
      <c r="E40" s="862"/>
      <c r="F40" s="863"/>
      <c r="G40" s="111"/>
      <c r="H40" s="616" t="str">
        <f t="shared" si="13"/>
        <v>Erreicht</v>
      </c>
      <c r="I40" s="689">
        <f>I39+1</f>
        <v>25</v>
      </c>
      <c r="J40" s="690" t="s">
        <v>418</v>
      </c>
      <c r="K40" s="690"/>
      <c r="L40" s="690"/>
      <c r="M40" s="690"/>
      <c r="N40" s="690"/>
      <c r="O40" s="535"/>
      <c r="P40" s="757" t="str">
        <f t="shared" si="7"/>
        <v>an Tag 1</v>
      </c>
      <c r="Q40" s="757" t="str">
        <f t="shared" si="8"/>
        <v/>
      </c>
      <c r="R40" s="757" t="str">
        <f t="shared" si="9"/>
        <v/>
      </c>
      <c r="S40" s="690"/>
      <c r="T40" s="690"/>
      <c r="U40" s="690"/>
      <c r="V40" s="690"/>
      <c r="W40" s="789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405"/>
      <c r="AI40" s="405"/>
      <c r="AJ40" s="406"/>
      <c r="AK40" s="405"/>
      <c r="AL40" s="405"/>
      <c r="AM40" s="405"/>
      <c r="AN40" s="405"/>
      <c r="AO40" s="405"/>
      <c r="AP40" s="405"/>
      <c r="AQ40" s="405"/>
      <c r="AR40" s="405"/>
      <c r="AS40" s="405"/>
      <c r="AT40" s="405"/>
      <c r="AU40" s="405"/>
      <c r="AV40" s="405"/>
      <c r="AW40" s="405"/>
      <c r="AX40" s="405"/>
      <c r="AY40" s="405"/>
      <c r="AZ40" s="405"/>
      <c r="BA40" s="405"/>
      <c r="BB40" s="405"/>
      <c r="BC40" s="405"/>
      <c r="BD40" s="405"/>
      <c r="BE40" s="405"/>
      <c r="BF40" s="405"/>
      <c r="BG40" s="405"/>
      <c r="BH40" s="405"/>
      <c r="BI40" s="405"/>
      <c r="BJ40" s="405"/>
      <c r="BK40" s="405"/>
      <c r="BL40" s="405"/>
      <c r="BM40" s="405"/>
      <c r="BN40" s="405"/>
      <c r="BO40" s="405"/>
      <c r="BP40" s="405"/>
      <c r="BQ40" s="405"/>
      <c r="BR40" s="404"/>
      <c r="BS40" s="95"/>
      <c r="BT40" s="404"/>
      <c r="BU40" s="404"/>
      <c r="BV40" s="404"/>
      <c r="BW40" s="404"/>
      <c r="BX40" s="404"/>
      <c r="BY40" s="404"/>
      <c r="BZ40" s="404"/>
      <c r="CA40" s="404"/>
      <c r="CB40" s="404"/>
      <c r="CC40" s="404"/>
      <c r="CD40" s="404"/>
      <c r="CE40" s="404"/>
      <c r="CF40" s="404"/>
      <c r="CG40" s="404"/>
      <c r="CH40" s="404"/>
      <c r="CI40" s="404"/>
      <c r="CJ40" s="404"/>
      <c r="CK40" s="404"/>
      <c r="CL40" s="404"/>
      <c r="CM40" s="404"/>
      <c r="CN40" s="404"/>
      <c r="CO40" s="404"/>
      <c r="CP40" s="404"/>
      <c r="CQ40" s="404"/>
      <c r="CR40" s="404"/>
      <c r="CS40" s="404"/>
      <c r="CT40" s="404"/>
      <c r="CU40" s="404"/>
      <c r="CV40" s="404"/>
      <c r="CW40" s="404"/>
      <c r="CX40" s="404"/>
    </row>
    <row r="41" spans="1:102" s="408" customFormat="1" ht="18.75" hidden="1" customHeight="1" outlineLevel="1" x14ac:dyDescent="0.25">
      <c r="A41" s="404"/>
      <c r="B41" s="856"/>
      <c r="C41" s="111"/>
      <c r="D41" s="861"/>
      <c r="E41" s="862"/>
      <c r="F41" s="863"/>
      <c r="G41" s="111"/>
      <c r="H41" s="616" t="str">
        <f t="shared" si="13"/>
        <v>Erreicht</v>
      </c>
      <c r="I41" s="689">
        <f>I40+1</f>
        <v>26</v>
      </c>
      <c r="J41" s="690" t="s">
        <v>418</v>
      </c>
      <c r="K41" s="690"/>
      <c r="L41" s="690"/>
      <c r="M41" s="690"/>
      <c r="N41" s="690"/>
      <c r="O41" s="535"/>
      <c r="P41" s="757" t="str">
        <f t="shared" si="7"/>
        <v>an Tag 1</v>
      </c>
      <c r="Q41" s="757" t="str">
        <f t="shared" si="8"/>
        <v/>
      </c>
      <c r="R41" s="757" t="str">
        <f t="shared" si="9"/>
        <v/>
      </c>
      <c r="S41" s="690"/>
      <c r="T41" s="690"/>
      <c r="U41" s="690"/>
      <c r="V41" s="690"/>
      <c r="W41" s="789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405"/>
      <c r="AI41" s="405"/>
      <c r="AJ41" s="406"/>
      <c r="AK41" s="405"/>
      <c r="AL41" s="405"/>
      <c r="AM41" s="405"/>
      <c r="AN41" s="405"/>
      <c r="AO41" s="405"/>
      <c r="AP41" s="405"/>
      <c r="AQ41" s="405"/>
      <c r="AR41" s="405"/>
      <c r="AS41" s="405"/>
      <c r="AT41" s="405"/>
      <c r="AU41" s="405"/>
      <c r="AV41" s="405"/>
      <c r="AW41" s="405"/>
      <c r="AX41" s="405"/>
      <c r="AY41" s="405"/>
      <c r="AZ41" s="405"/>
      <c r="BA41" s="405"/>
      <c r="BB41" s="405"/>
      <c r="BC41" s="405"/>
      <c r="BD41" s="405"/>
      <c r="BE41" s="405"/>
      <c r="BF41" s="405"/>
      <c r="BG41" s="405"/>
      <c r="BH41" s="405"/>
      <c r="BI41" s="405"/>
      <c r="BJ41" s="405"/>
      <c r="BK41" s="405"/>
      <c r="BL41" s="405"/>
      <c r="BM41" s="405"/>
      <c r="BN41" s="405"/>
      <c r="BO41" s="405"/>
      <c r="BP41" s="405"/>
      <c r="BQ41" s="405"/>
      <c r="BR41" s="404"/>
      <c r="BS41" s="95"/>
      <c r="BT41" s="404"/>
      <c r="BU41" s="404"/>
      <c r="BV41" s="404"/>
      <c r="BW41" s="404"/>
      <c r="BX41" s="404"/>
      <c r="BY41" s="404"/>
      <c r="BZ41" s="404"/>
      <c r="CA41" s="404"/>
      <c r="CB41" s="404"/>
      <c r="CC41" s="404"/>
      <c r="CD41" s="404"/>
      <c r="CE41" s="404"/>
      <c r="CF41" s="404"/>
      <c r="CG41" s="404"/>
      <c r="CH41" s="404"/>
      <c r="CI41" s="404"/>
      <c r="CJ41" s="404"/>
      <c r="CK41" s="404"/>
      <c r="CL41" s="404"/>
      <c r="CM41" s="404"/>
      <c r="CN41" s="404"/>
      <c r="CO41" s="404"/>
      <c r="CP41" s="404"/>
      <c r="CQ41" s="404"/>
      <c r="CR41" s="404"/>
      <c r="CS41" s="404"/>
      <c r="CT41" s="404"/>
      <c r="CU41" s="404"/>
      <c r="CV41" s="404"/>
      <c r="CW41" s="404"/>
      <c r="CX41" s="404"/>
    </row>
    <row r="42" spans="1:102" s="408" customFormat="1" ht="18.75" hidden="1" customHeight="1" outlineLevel="1" x14ac:dyDescent="0.25">
      <c r="A42" s="404"/>
      <c r="B42" s="856"/>
      <c r="C42" s="111"/>
      <c r="D42" s="861"/>
      <c r="E42" s="862"/>
      <c r="F42" s="863"/>
      <c r="G42" s="111"/>
      <c r="H42" s="616" t="str">
        <f t="shared" ref="H42:H46" si="15">IF(O42&lt;$AI$8,"Erreicht",IF(J42&lt;&gt;"noch unbekannt","Offengelegt","Geheim"))</f>
        <v>Erreicht</v>
      </c>
      <c r="I42" s="689">
        <f t="shared" ref="I42:I47" si="16">I41+1</f>
        <v>27</v>
      </c>
      <c r="J42" s="690" t="s">
        <v>418</v>
      </c>
      <c r="K42" s="690"/>
      <c r="L42" s="690"/>
      <c r="M42" s="690"/>
      <c r="N42" s="690"/>
      <c r="O42" s="535"/>
      <c r="P42" s="757" t="str">
        <f t="shared" ref="P42:P46" si="17">"an Tag "&amp;INDEX($G$56:$G$77,MATCH(O42,$I$56:$I$77,1),1)+1</f>
        <v>an Tag 1</v>
      </c>
      <c r="Q42" s="757" t="str">
        <f t="shared" si="8"/>
        <v/>
      </c>
      <c r="R42" s="757" t="str">
        <f t="shared" si="9"/>
        <v/>
      </c>
      <c r="S42" s="690"/>
      <c r="T42" s="690"/>
      <c r="U42" s="690"/>
      <c r="V42" s="690"/>
      <c r="W42" s="789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405"/>
      <c r="AI42" s="405"/>
      <c r="AJ42" s="406"/>
      <c r="AK42" s="405"/>
      <c r="AL42" s="405"/>
      <c r="AM42" s="405"/>
      <c r="AN42" s="405"/>
      <c r="AO42" s="405"/>
      <c r="AP42" s="405"/>
      <c r="AQ42" s="405"/>
      <c r="AR42" s="405"/>
      <c r="AS42" s="405"/>
      <c r="AT42" s="405"/>
      <c r="AU42" s="405"/>
      <c r="AV42" s="405"/>
      <c r="AW42" s="405"/>
      <c r="AX42" s="405"/>
      <c r="AY42" s="405"/>
      <c r="AZ42" s="405"/>
      <c r="BA42" s="405"/>
      <c r="BB42" s="405"/>
      <c r="BC42" s="405"/>
      <c r="BD42" s="405"/>
      <c r="BE42" s="405"/>
      <c r="BF42" s="405"/>
      <c r="BG42" s="405"/>
      <c r="BH42" s="405"/>
      <c r="BI42" s="405"/>
      <c r="BJ42" s="405"/>
      <c r="BK42" s="405"/>
      <c r="BL42" s="405"/>
      <c r="BM42" s="405"/>
      <c r="BN42" s="405"/>
      <c r="BO42" s="405"/>
      <c r="BP42" s="405"/>
      <c r="BQ42" s="405"/>
      <c r="BR42" s="404"/>
      <c r="BS42" s="95"/>
      <c r="BT42" s="404"/>
      <c r="BU42" s="404"/>
      <c r="BV42" s="404"/>
      <c r="BW42" s="404"/>
      <c r="BX42" s="404"/>
      <c r="BY42" s="404"/>
      <c r="BZ42" s="404"/>
      <c r="CA42" s="404"/>
      <c r="CB42" s="404"/>
      <c r="CC42" s="404"/>
      <c r="CD42" s="404"/>
      <c r="CE42" s="404"/>
      <c r="CF42" s="404"/>
      <c r="CG42" s="404"/>
      <c r="CH42" s="404"/>
      <c r="CI42" s="404"/>
      <c r="CJ42" s="404"/>
      <c r="CK42" s="404"/>
      <c r="CL42" s="404"/>
      <c r="CM42" s="404"/>
      <c r="CN42" s="404"/>
      <c r="CO42" s="404"/>
      <c r="CP42" s="404"/>
      <c r="CQ42" s="404"/>
      <c r="CR42" s="404"/>
      <c r="CS42" s="404"/>
      <c r="CT42" s="404"/>
      <c r="CU42" s="404"/>
      <c r="CV42" s="404"/>
      <c r="CW42" s="404"/>
      <c r="CX42" s="404"/>
    </row>
    <row r="43" spans="1:102" s="408" customFormat="1" ht="18.75" hidden="1" customHeight="1" outlineLevel="1" x14ac:dyDescent="0.25">
      <c r="A43" s="404"/>
      <c r="B43" s="856"/>
      <c r="C43" s="111"/>
      <c r="D43" s="861"/>
      <c r="E43" s="862"/>
      <c r="F43" s="863"/>
      <c r="G43" s="111"/>
      <c r="H43" s="616" t="str">
        <f t="shared" si="15"/>
        <v>Erreicht</v>
      </c>
      <c r="I43" s="689">
        <f t="shared" si="16"/>
        <v>28</v>
      </c>
      <c r="J43" s="690" t="s">
        <v>418</v>
      </c>
      <c r="K43" s="690"/>
      <c r="L43" s="690"/>
      <c r="M43" s="690"/>
      <c r="N43" s="690"/>
      <c r="O43" s="535"/>
      <c r="P43" s="757" t="str">
        <f t="shared" si="17"/>
        <v>an Tag 1</v>
      </c>
      <c r="Q43" s="757" t="str">
        <f t="shared" si="8"/>
        <v/>
      </c>
      <c r="R43" s="757" t="str">
        <f t="shared" si="9"/>
        <v/>
      </c>
      <c r="S43" s="690"/>
      <c r="T43" s="690"/>
      <c r="U43" s="690"/>
      <c r="V43" s="690"/>
      <c r="W43" s="789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405"/>
      <c r="AI43" s="405"/>
      <c r="AJ43" s="406"/>
      <c r="AK43" s="405"/>
      <c r="AL43" s="405"/>
      <c r="AM43" s="405"/>
      <c r="AN43" s="405"/>
      <c r="AO43" s="405"/>
      <c r="AP43" s="405"/>
      <c r="AQ43" s="405"/>
      <c r="AR43" s="405"/>
      <c r="AS43" s="405"/>
      <c r="AT43" s="405"/>
      <c r="AU43" s="405"/>
      <c r="AV43" s="405"/>
      <c r="AW43" s="405"/>
      <c r="AX43" s="405"/>
      <c r="AY43" s="405"/>
      <c r="AZ43" s="405"/>
      <c r="BA43" s="405"/>
      <c r="BB43" s="405"/>
      <c r="BC43" s="405"/>
      <c r="BD43" s="405"/>
      <c r="BE43" s="405"/>
      <c r="BF43" s="405"/>
      <c r="BG43" s="405"/>
      <c r="BH43" s="405"/>
      <c r="BI43" s="405"/>
      <c r="BJ43" s="405"/>
      <c r="BK43" s="405"/>
      <c r="BL43" s="405"/>
      <c r="BM43" s="405"/>
      <c r="BN43" s="405"/>
      <c r="BO43" s="405"/>
      <c r="BP43" s="405"/>
      <c r="BQ43" s="405"/>
      <c r="BR43" s="404"/>
      <c r="BS43" s="95"/>
      <c r="BT43" s="404"/>
      <c r="BU43" s="404"/>
      <c r="BV43" s="404"/>
      <c r="BW43" s="404"/>
      <c r="BX43" s="404"/>
      <c r="BY43" s="404"/>
      <c r="BZ43" s="404"/>
      <c r="CA43" s="404"/>
      <c r="CB43" s="404"/>
      <c r="CC43" s="404"/>
      <c r="CD43" s="404"/>
      <c r="CE43" s="404"/>
      <c r="CF43" s="404"/>
      <c r="CG43" s="404"/>
      <c r="CH43" s="404"/>
      <c r="CI43" s="404"/>
      <c r="CJ43" s="404"/>
      <c r="CK43" s="404"/>
      <c r="CL43" s="404"/>
      <c r="CM43" s="404"/>
      <c r="CN43" s="404"/>
      <c r="CO43" s="404"/>
      <c r="CP43" s="404"/>
      <c r="CQ43" s="404"/>
      <c r="CR43" s="404"/>
      <c r="CS43" s="404"/>
      <c r="CT43" s="404"/>
      <c r="CU43" s="404"/>
      <c r="CV43" s="404"/>
      <c r="CW43" s="404"/>
      <c r="CX43" s="404"/>
    </row>
    <row r="44" spans="1:102" s="408" customFormat="1" ht="18.75" hidden="1" customHeight="1" outlineLevel="1" x14ac:dyDescent="0.25">
      <c r="A44" s="404"/>
      <c r="B44" s="856"/>
      <c r="C44" s="111"/>
      <c r="D44" s="861"/>
      <c r="E44" s="862"/>
      <c r="F44" s="863"/>
      <c r="G44" s="111"/>
      <c r="H44" s="616" t="str">
        <f t="shared" si="15"/>
        <v>Erreicht</v>
      </c>
      <c r="I44" s="689">
        <f t="shared" si="16"/>
        <v>29</v>
      </c>
      <c r="J44" s="690" t="s">
        <v>418</v>
      </c>
      <c r="K44" s="690"/>
      <c r="L44" s="690"/>
      <c r="M44" s="690"/>
      <c r="N44" s="690"/>
      <c r="O44" s="535"/>
      <c r="P44" s="757" t="str">
        <f t="shared" si="17"/>
        <v>an Tag 1</v>
      </c>
      <c r="Q44" s="757" t="str">
        <f t="shared" si="8"/>
        <v/>
      </c>
      <c r="R44" s="757" t="str">
        <f t="shared" si="9"/>
        <v/>
      </c>
      <c r="S44" s="690"/>
      <c r="T44" s="690"/>
      <c r="U44" s="690"/>
      <c r="V44" s="690"/>
      <c r="W44" s="789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405"/>
      <c r="AI44" s="405"/>
      <c r="AJ44" s="406"/>
      <c r="AK44" s="405"/>
      <c r="AL44" s="405"/>
      <c r="AM44" s="405"/>
      <c r="AN44" s="405"/>
      <c r="AO44" s="405"/>
      <c r="AP44" s="405"/>
      <c r="AQ44" s="405"/>
      <c r="AR44" s="405"/>
      <c r="AS44" s="405"/>
      <c r="AT44" s="405"/>
      <c r="AU44" s="405"/>
      <c r="AV44" s="405"/>
      <c r="AW44" s="405"/>
      <c r="AX44" s="405"/>
      <c r="AY44" s="405"/>
      <c r="AZ44" s="405"/>
      <c r="BA44" s="405"/>
      <c r="BB44" s="405"/>
      <c r="BC44" s="405"/>
      <c r="BD44" s="405"/>
      <c r="BE44" s="405"/>
      <c r="BF44" s="405"/>
      <c r="BG44" s="405"/>
      <c r="BH44" s="405"/>
      <c r="BI44" s="405"/>
      <c r="BJ44" s="405"/>
      <c r="BK44" s="405"/>
      <c r="BL44" s="405"/>
      <c r="BM44" s="405"/>
      <c r="BN44" s="405"/>
      <c r="BO44" s="405"/>
      <c r="BP44" s="405"/>
      <c r="BQ44" s="405"/>
      <c r="BR44" s="404"/>
      <c r="BS44" s="95"/>
      <c r="BT44" s="404"/>
      <c r="BU44" s="404"/>
      <c r="BV44" s="404"/>
      <c r="BW44" s="404"/>
      <c r="BX44" s="404"/>
      <c r="BY44" s="404"/>
      <c r="BZ44" s="404"/>
      <c r="CA44" s="404"/>
      <c r="CB44" s="404"/>
      <c r="CC44" s="404"/>
      <c r="CD44" s="404"/>
      <c r="CE44" s="404"/>
      <c r="CF44" s="404"/>
      <c r="CG44" s="404"/>
      <c r="CH44" s="404"/>
      <c r="CI44" s="404"/>
      <c r="CJ44" s="404"/>
      <c r="CK44" s="404"/>
      <c r="CL44" s="404"/>
      <c r="CM44" s="404"/>
      <c r="CN44" s="404"/>
      <c r="CO44" s="404"/>
      <c r="CP44" s="404"/>
      <c r="CQ44" s="404"/>
      <c r="CR44" s="404"/>
      <c r="CS44" s="404"/>
      <c r="CT44" s="404"/>
      <c r="CU44" s="404"/>
      <c r="CV44" s="404"/>
      <c r="CW44" s="404"/>
      <c r="CX44" s="404"/>
    </row>
    <row r="45" spans="1:102" s="408" customFormat="1" ht="18.75" hidden="1" customHeight="1" outlineLevel="1" x14ac:dyDescent="0.25">
      <c r="A45" s="404"/>
      <c r="B45" s="856"/>
      <c r="C45" s="111"/>
      <c r="D45" s="861"/>
      <c r="E45" s="862"/>
      <c r="F45" s="863"/>
      <c r="G45" s="111"/>
      <c r="H45" s="616" t="str">
        <f t="shared" si="15"/>
        <v>Erreicht</v>
      </c>
      <c r="I45" s="689">
        <f t="shared" si="16"/>
        <v>30</v>
      </c>
      <c r="J45" s="690" t="s">
        <v>418</v>
      </c>
      <c r="K45" s="690"/>
      <c r="L45" s="690"/>
      <c r="M45" s="690"/>
      <c r="N45" s="690"/>
      <c r="O45" s="535"/>
      <c r="P45" s="757" t="str">
        <f t="shared" si="17"/>
        <v>an Tag 1</v>
      </c>
      <c r="Q45" s="757" t="str">
        <f t="shared" si="8"/>
        <v/>
      </c>
      <c r="R45" s="757" t="str">
        <f t="shared" si="9"/>
        <v/>
      </c>
      <c r="S45" s="690"/>
      <c r="T45" s="690"/>
      <c r="U45" s="690"/>
      <c r="V45" s="690"/>
      <c r="W45" s="789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405"/>
      <c r="AI45" s="405"/>
      <c r="AJ45" s="406"/>
      <c r="AK45" s="405"/>
      <c r="AL45" s="405"/>
      <c r="AM45" s="405"/>
      <c r="AN45" s="405"/>
      <c r="AO45" s="405"/>
      <c r="AP45" s="405"/>
      <c r="AQ45" s="405"/>
      <c r="AR45" s="405"/>
      <c r="AS45" s="405"/>
      <c r="AT45" s="405"/>
      <c r="AU45" s="405"/>
      <c r="AV45" s="405"/>
      <c r="AW45" s="405"/>
      <c r="AX45" s="405"/>
      <c r="AY45" s="405"/>
      <c r="AZ45" s="405"/>
      <c r="BA45" s="405"/>
      <c r="BB45" s="405"/>
      <c r="BC45" s="405"/>
      <c r="BD45" s="405"/>
      <c r="BE45" s="405"/>
      <c r="BF45" s="405"/>
      <c r="BG45" s="405"/>
      <c r="BH45" s="405"/>
      <c r="BI45" s="405"/>
      <c r="BJ45" s="405"/>
      <c r="BK45" s="405"/>
      <c r="BL45" s="405"/>
      <c r="BM45" s="405"/>
      <c r="BN45" s="405"/>
      <c r="BO45" s="405"/>
      <c r="BP45" s="405"/>
      <c r="BQ45" s="405"/>
      <c r="BR45" s="404"/>
      <c r="BS45" s="95"/>
      <c r="BT45" s="404"/>
      <c r="BU45" s="404"/>
      <c r="BV45" s="404"/>
      <c r="BW45" s="404"/>
      <c r="BX45" s="404"/>
      <c r="BY45" s="404"/>
      <c r="BZ45" s="404"/>
      <c r="CA45" s="404"/>
      <c r="CB45" s="404"/>
      <c r="CC45" s="404"/>
      <c r="CD45" s="404"/>
      <c r="CE45" s="404"/>
      <c r="CF45" s="404"/>
      <c r="CG45" s="404"/>
      <c r="CH45" s="404"/>
      <c r="CI45" s="404"/>
      <c r="CJ45" s="404"/>
      <c r="CK45" s="404"/>
      <c r="CL45" s="404"/>
      <c r="CM45" s="404"/>
      <c r="CN45" s="404"/>
      <c r="CO45" s="404"/>
      <c r="CP45" s="404"/>
      <c r="CQ45" s="404"/>
      <c r="CR45" s="404"/>
      <c r="CS45" s="404"/>
      <c r="CT45" s="404"/>
      <c r="CU45" s="404"/>
      <c r="CV45" s="404"/>
      <c r="CW45" s="404"/>
      <c r="CX45" s="404"/>
    </row>
    <row r="46" spans="1:102" s="408" customFormat="1" ht="18.75" hidden="1" customHeight="1" outlineLevel="1" x14ac:dyDescent="0.25">
      <c r="A46" s="404"/>
      <c r="B46" s="856"/>
      <c r="C46" s="111"/>
      <c r="D46" s="861"/>
      <c r="E46" s="862"/>
      <c r="F46" s="863"/>
      <c r="G46" s="111"/>
      <c r="H46" s="616" t="str">
        <f t="shared" si="15"/>
        <v>Erreicht</v>
      </c>
      <c r="I46" s="689">
        <f t="shared" si="16"/>
        <v>31</v>
      </c>
      <c r="J46" s="690" t="s">
        <v>418</v>
      </c>
      <c r="K46" s="690"/>
      <c r="L46" s="690"/>
      <c r="M46" s="690"/>
      <c r="N46" s="690"/>
      <c r="O46" s="535"/>
      <c r="P46" s="757" t="str">
        <f t="shared" si="17"/>
        <v>an Tag 1</v>
      </c>
      <c r="Q46" s="757" t="str">
        <f t="shared" si="8"/>
        <v/>
      </c>
      <c r="R46" s="757" t="str">
        <f t="shared" si="9"/>
        <v/>
      </c>
      <c r="S46" s="690"/>
      <c r="T46" s="690"/>
      <c r="U46" s="690"/>
      <c r="V46" s="690"/>
      <c r="W46" s="789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405"/>
      <c r="AI46" s="405"/>
      <c r="AJ46" s="406"/>
      <c r="AK46" s="405"/>
      <c r="AL46" s="405"/>
      <c r="AM46" s="405"/>
      <c r="AN46" s="405"/>
      <c r="AO46" s="405"/>
      <c r="AP46" s="405"/>
      <c r="AQ46" s="405"/>
      <c r="AR46" s="405"/>
      <c r="AS46" s="405"/>
      <c r="AT46" s="405"/>
      <c r="AU46" s="405"/>
      <c r="AV46" s="405"/>
      <c r="AW46" s="405"/>
      <c r="AX46" s="405"/>
      <c r="AY46" s="405"/>
      <c r="AZ46" s="405"/>
      <c r="BA46" s="405"/>
      <c r="BB46" s="405"/>
      <c r="BC46" s="405"/>
      <c r="BD46" s="405"/>
      <c r="BE46" s="405"/>
      <c r="BF46" s="405"/>
      <c r="BG46" s="405"/>
      <c r="BH46" s="405"/>
      <c r="BI46" s="405"/>
      <c r="BJ46" s="405"/>
      <c r="BK46" s="405"/>
      <c r="BL46" s="405"/>
      <c r="BM46" s="405"/>
      <c r="BN46" s="405"/>
      <c r="BO46" s="405"/>
      <c r="BP46" s="405"/>
      <c r="BQ46" s="405"/>
      <c r="BR46" s="404"/>
      <c r="BS46" s="95"/>
      <c r="BT46" s="404"/>
      <c r="BU46" s="404"/>
      <c r="BV46" s="404"/>
      <c r="BW46" s="404"/>
      <c r="BX46" s="404"/>
      <c r="BY46" s="404"/>
      <c r="BZ46" s="404"/>
      <c r="CA46" s="404"/>
      <c r="CB46" s="404"/>
      <c r="CC46" s="404"/>
      <c r="CD46" s="404"/>
      <c r="CE46" s="404"/>
      <c r="CF46" s="404"/>
      <c r="CG46" s="404"/>
      <c r="CH46" s="404"/>
      <c r="CI46" s="404"/>
      <c r="CJ46" s="404"/>
      <c r="CK46" s="404"/>
      <c r="CL46" s="404"/>
      <c r="CM46" s="404"/>
      <c r="CN46" s="404"/>
      <c r="CO46" s="404"/>
      <c r="CP46" s="404"/>
      <c r="CQ46" s="404"/>
      <c r="CR46" s="404"/>
      <c r="CS46" s="404"/>
      <c r="CT46" s="404"/>
      <c r="CU46" s="404"/>
      <c r="CV46" s="404"/>
      <c r="CW46" s="404"/>
      <c r="CX46" s="404"/>
    </row>
    <row r="47" spans="1:102" s="408" customFormat="1" ht="18.75" hidden="1" customHeight="1" outlineLevel="1" thickBot="1" x14ac:dyDescent="0.3">
      <c r="A47" s="404"/>
      <c r="B47" s="856"/>
      <c r="C47" s="111"/>
      <c r="D47" s="861"/>
      <c r="E47" s="862"/>
      <c r="F47" s="863"/>
      <c r="G47" s="111"/>
      <c r="H47" s="536" t="str">
        <f t="shared" si="13"/>
        <v>Erreicht</v>
      </c>
      <c r="I47" s="689">
        <f t="shared" si="16"/>
        <v>32</v>
      </c>
      <c r="J47" s="690" t="s">
        <v>418</v>
      </c>
      <c r="K47" s="537"/>
      <c r="L47" s="537"/>
      <c r="M47" s="537"/>
      <c r="N47" s="537"/>
      <c r="O47" s="535"/>
      <c r="P47" s="758" t="str">
        <f>"an Tag "&amp;INDEX($G$56:$G$77,MATCH(O47,$I$56:$I$77,1),1)+1</f>
        <v>an Tag 1</v>
      </c>
      <c r="Q47" s="758" t="str">
        <f t="shared" si="8"/>
        <v/>
      </c>
      <c r="R47" s="758" t="str">
        <f t="shared" si="9"/>
        <v/>
      </c>
      <c r="S47" s="537"/>
      <c r="T47" s="537"/>
      <c r="U47" s="537"/>
      <c r="V47" s="537"/>
      <c r="W47" s="79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405"/>
      <c r="AI47" s="405"/>
      <c r="AJ47" s="406"/>
      <c r="AK47" s="405"/>
      <c r="AL47" s="405"/>
      <c r="AM47" s="405"/>
      <c r="AN47" s="405"/>
      <c r="AO47" s="405"/>
      <c r="AP47" s="405"/>
      <c r="AQ47" s="405"/>
      <c r="AR47" s="405"/>
      <c r="AS47" s="405"/>
      <c r="AT47" s="405"/>
      <c r="AU47" s="405"/>
      <c r="AV47" s="405"/>
      <c r="AW47" s="405"/>
      <c r="AX47" s="405"/>
      <c r="AY47" s="405"/>
      <c r="AZ47" s="405"/>
      <c r="BA47" s="405"/>
      <c r="BB47" s="405"/>
      <c r="BC47" s="405"/>
      <c r="BD47" s="405"/>
      <c r="BE47" s="405"/>
      <c r="BF47" s="405"/>
      <c r="BG47" s="405"/>
      <c r="BH47" s="405"/>
      <c r="BI47" s="405"/>
      <c r="BJ47" s="405"/>
      <c r="BK47" s="405"/>
      <c r="BL47" s="405"/>
      <c r="BM47" s="405"/>
      <c r="BN47" s="405"/>
      <c r="BO47" s="405"/>
      <c r="BP47" s="405"/>
      <c r="BQ47" s="405"/>
      <c r="BR47" s="404"/>
      <c r="BS47" s="95"/>
      <c r="BT47" s="404"/>
      <c r="BU47" s="404"/>
      <c r="BV47" s="404"/>
      <c r="BW47" s="404"/>
      <c r="BX47" s="404"/>
      <c r="BY47" s="404"/>
      <c r="BZ47" s="404"/>
      <c r="CA47" s="404"/>
      <c r="CB47" s="404"/>
      <c r="CC47" s="404"/>
      <c r="CD47" s="404"/>
      <c r="CE47" s="404"/>
      <c r="CF47" s="404"/>
      <c r="CG47" s="404"/>
      <c r="CH47" s="404"/>
      <c r="CI47" s="404"/>
      <c r="CJ47" s="404"/>
      <c r="CK47" s="404"/>
      <c r="CL47" s="404"/>
      <c r="CM47" s="404"/>
      <c r="CN47" s="404"/>
      <c r="CO47" s="404"/>
      <c r="CP47" s="404"/>
      <c r="CQ47" s="404"/>
      <c r="CR47" s="404"/>
      <c r="CS47" s="404"/>
      <c r="CT47" s="404"/>
      <c r="CU47" s="404"/>
      <c r="CV47" s="404"/>
      <c r="CW47" s="404"/>
      <c r="CX47" s="404"/>
    </row>
    <row r="48" spans="1:102" s="408" customFormat="1" ht="18.75" customHeight="1" collapsed="1" thickBot="1" x14ac:dyDescent="0.3">
      <c r="A48" s="404"/>
      <c r="B48" s="856"/>
      <c r="C48" s="111"/>
      <c r="D48" s="861"/>
      <c r="E48" s="862"/>
      <c r="F48" s="863"/>
      <c r="G48" s="111"/>
      <c r="H48" s="472" t="s">
        <v>302</v>
      </c>
      <c r="I48" s="473" t="s">
        <v>306</v>
      </c>
      <c r="J48" s="894" t="s">
        <v>304</v>
      </c>
      <c r="K48" s="894"/>
      <c r="L48" s="894"/>
      <c r="M48" s="894"/>
      <c r="N48" s="474"/>
      <c r="O48" s="473" t="s">
        <v>303</v>
      </c>
      <c r="P48" s="677" t="s">
        <v>670</v>
      </c>
      <c r="Q48" s="835" t="s">
        <v>351</v>
      </c>
      <c r="R48" s="836" t="s">
        <v>350</v>
      </c>
      <c r="S48" s="922" t="s">
        <v>573</v>
      </c>
      <c r="T48" s="923"/>
      <c r="U48" s="923"/>
      <c r="V48" s="923"/>
      <c r="W48" s="924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405"/>
      <c r="AI48" s="405"/>
      <c r="AJ48" s="406"/>
      <c r="AK48" s="405"/>
      <c r="AL48" s="405"/>
      <c r="AM48" s="405"/>
      <c r="AN48" s="405"/>
      <c r="AO48" s="405"/>
      <c r="AP48" s="405"/>
      <c r="AQ48" s="405"/>
      <c r="AR48" s="405"/>
      <c r="AS48" s="405"/>
      <c r="AT48" s="405"/>
      <c r="AU48" s="405"/>
      <c r="AV48" s="405"/>
      <c r="AW48" s="405"/>
      <c r="AX48" s="405"/>
      <c r="AY48" s="405"/>
      <c r="AZ48" s="405"/>
      <c r="BA48" s="405"/>
      <c r="BB48" s="405"/>
      <c r="BC48" s="405"/>
      <c r="BD48" s="405"/>
      <c r="BE48" s="405"/>
      <c r="BF48" s="405"/>
      <c r="BG48" s="405"/>
      <c r="BH48" s="405"/>
      <c r="BI48" s="405"/>
      <c r="BJ48" s="405"/>
      <c r="BK48" s="405"/>
      <c r="BL48" s="405"/>
      <c r="BM48" s="405"/>
      <c r="BN48" s="405"/>
      <c r="BO48" s="405"/>
      <c r="BP48" s="405"/>
      <c r="BQ48" s="405"/>
      <c r="BR48" s="404"/>
      <c r="BS48" s="95"/>
      <c r="BT48" s="404"/>
      <c r="BU48" s="404"/>
      <c r="BV48" s="404"/>
      <c r="BW48" s="404"/>
      <c r="BX48" s="404"/>
      <c r="BY48" s="404"/>
      <c r="BZ48" s="404"/>
      <c r="CA48" s="404"/>
      <c r="CB48" s="404"/>
      <c r="CC48" s="404"/>
      <c r="CD48" s="404"/>
      <c r="CE48" s="404"/>
      <c r="CF48" s="404"/>
      <c r="CG48" s="404"/>
      <c r="CH48" s="404"/>
      <c r="CI48" s="404"/>
      <c r="CJ48" s="404"/>
      <c r="CK48" s="404"/>
      <c r="CL48" s="404"/>
      <c r="CM48" s="404"/>
      <c r="CN48" s="404"/>
      <c r="CO48" s="404"/>
      <c r="CP48" s="404"/>
      <c r="CQ48" s="404"/>
      <c r="CR48" s="404"/>
      <c r="CS48" s="404"/>
      <c r="CT48" s="404"/>
      <c r="CU48" s="404"/>
      <c r="CV48" s="404"/>
      <c r="CW48" s="404"/>
      <c r="CX48" s="404"/>
    </row>
    <row r="49" spans="1:102" s="408" customFormat="1" ht="18.75" customHeight="1" thickBot="1" x14ac:dyDescent="0.35">
      <c r="A49" s="404"/>
      <c r="B49" s="856"/>
      <c r="C49" s="111"/>
      <c r="D49" s="861"/>
      <c r="E49" s="862"/>
      <c r="F49" s="863"/>
      <c r="G49" s="111"/>
      <c r="H49" s="897" t="s">
        <v>549</v>
      </c>
      <c r="I49" s="898"/>
      <c r="J49" s="898"/>
      <c r="K49" s="898"/>
      <c r="L49" s="898"/>
      <c r="M49" s="898"/>
      <c r="N49" s="898"/>
      <c r="O49" s="898"/>
      <c r="P49" s="899" t="s">
        <v>305</v>
      </c>
      <c r="Q49" s="894"/>
      <c r="R49" s="900"/>
      <c r="S49" s="925"/>
      <c r="T49" s="926"/>
      <c r="U49" s="926"/>
      <c r="V49" s="926"/>
      <c r="W49" s="927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405"/>
      <c r="AI49" s="405"/>
      <c r="AJ49" s="406"/>
      <c r="AK49" s="405"/>
      <c r="AL49" s="405"/>
      <c r="AM49" s="405"/>
      <c r="AN49" s="405"/>
      <c r="AO49" s="405"/>
      <c r="AP49" s="405"/>
      <c r="AQ49" s="405"/>
      <c r="AR49" s="405"/>
      <c r="AS49" s="405"/>
      <c r="AT49" s="405"/>
      <c r="AU49" s="405"/>
      <c r="AV49" s="405"/>
      <c r="AW49" s="405"/>
      <c r="AX49" s="405"/>
      <c r="AY49" s="405"/>
      <c r="AZ49" s="405"/>
      <c r="BA49" s="405"/>
      <c r="BB49" s="405"/>
      <c r="BC49" s="405"/>
      <c r="BD49" s="405"/>
      <c r="BE49" s="405"/>
      <c r="BF49" s="405"/>
      <c r="BG49" s="405"/>
      <c r="BH49" s="405"/>
      <c r="BI49" s="405"/>
      <c r="BJ49" s="405"/>
      <c r="BK49" s="405"/>
      <c r="BL49" s="405"/>
      <c r="BM49" s="405"/>
      <c r="BN49" s="405"/>
      <c r="BO49" s="405"/>
      <c r="BP49" s="405"/>
      <c r="BQ49" s="405"/>
      <c r="BR49" s="404"/>
      <c r="BS49" s="95"/>
      <c r="BT49" s="404"/>
      <c r="BU49" s="404"/>
      <c r="BV49" s="404"/>
      <c r="BW49" s="404"/>
      <c r="BX49" s="404"/>
      <c r="BY49" s="404"/>
      <c r="BZ49" s="404"/>
      <c r="CA49" s="404"/>
      <c r="CB49" s="404"/>
      <c r="CC49" s="404"/>
      <c r="CD49" s="404"/>
      <c r="CE49" s="404"/>
      <c r="CF49" s="404"/>
      <c r="CG49" s="404"/>
      <c r="CH49" s="404"/>
      <c r="CI49" s="404"/>
      <c r="CJ49" s="404"/>
      <c r="CK49" s="404"/>
      <c r="CL49" s="404"/>
      <c r="CM49" s="404"/>
      <c r="CN49" s="404"/>
      <c r="CO49" s="404"/>
      <c r="CP49" s="404"/>
      <c r="CQ49" s="404"/>
      <c r="CR49" s="404"/>
      <c r="CS49" s="404"/>
      <c r="CT49" s="404"/>
      <c r="CU49" s="404"/>
      <c r="CV49" s="404"/>
      <c r="CW49" s="404"/>
      <c r="CX49" s="404"/>
    </row>
    <row r="50" spans="1:102" s="408" customFormat="1" ht="18.75" customHeight="1" x14ac:dyDescent="0.25">
      <c r="A50" s="404"/>
      <c r="B50" s="856"/>
      <c r="C50" s="111"/>
      <c r="D50" s="861"/>
      <c r="E50" s="862"/>
      <c r="F50" s="863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405"/>
      <c r="AI50" s="405"/>
      <c r="AJ50" s="406"/>
      <c r="AK50" s="405"/>
      <c r="AL50" s="405"/>
      <c r="AM50" s="405"/>
      <c r="AN50" s="405"/>
      <c r="AO50" s="405"/>
      <c r="AP50" s="405"/>
      <c r="AQ50" s="405"/>
      <c r="AR50" s="405"/>
      <c r="AS50" s="405"/>
      <c r="AT50" s="405"/>
      <c r="AU50" s="405"/>
      <c r="AV50" s="405"/>
      <c r="AW50" s="405"/>
      <c r="AX50" s="405"/>
      <c r="AY50" s="405"/>
      <c r="AZ50" s="405"/>
      <c r="BA50" s="405"/>
      <c r="BB50" s="405"/>
      <c r="BC50" s="405"/>
      <c r="BD50" s="405"/>
      <c r="BE50" s="405"/>
      <c r="BF50" s="405"/>
      <c r="BG50" s="405"/>
      <c r="BH50" s="405"/>
      <c r="BI50" s="405"/>
      <c r="BJ50" s="405"/>
      <c r="BK50" s="405"/>
      <c r="BL50" s="405"/>
      <c r="BM50" s="405"/>
      <c r="BN50" s="405"/>
      <c r="BO50" s="405"/>
      <c r="BP50" s="405"/>
      <c r="BQ50" s="405"/>
      <c r="BR50" s="404"/>
      <c r="BS50" s="95"/>
      <c r="BT50" s="404"/>
      <c r="BU50" s="404"/>
      <c r="BV50" s="404"/>
      <c r="BW50" s="404"/>
      <c r="BX50" s="404"/>
      <c r="BY50" s="404"/>
      <c r="BZ50" s="404"/>
      <c r="CA50" s="404"/>
      <c r="CB50" s="404"/>
      <c r="CC50" s="404"/>
      <c r="CD50" s="404"/>
      <c r="CE50" s="404"/>
      <c r="CF50" s="404"/>
      <c r="CG50" s="404"/>
      <c r="CH50" s="404"/>
      <c r="CI50" s="404"/>
      <c r="CJ50" s="404"/>
      <c r="CK50" s="404"/>
      <c r="CL50" s="404"/>
      <c r="CM50" s="404"/>
      <c r="CN50" s="404"/>
      <c r="CO50" s="404"/>
      <c r="CP50" s="404"/>
      <c r="CQ50" s="404"/>
      <c r="CR50" s="404"/>
      <c r="CS50" s="404"/>
      <c r="CT50" s="404"/>
      <c r="CU50" s="404"/>
      <c r="CV50" s="404"/>
      <c r="CW50" s="404"/>
      <c r="CX50" s="404"/>
    </row>
    <row r="51" spans="1:102" s="408" customFormat="1" ht="18.75" customHeight="1" thickBot="1" x14ac:dyDescent="0.3">
      <c r="A51" s="404"/>
      <c r="B51" s="857"/>
      <c r="C51" s="111"/>
      <c r="D51" s="864"/>
      <c r="E51" s="865"/>
      <c r="F51" s="866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405"/>
      <c r="AI51" s="405"/>
      <c r="AJ51" s="406"/>
      <c r="AK51" s="405"/>
      <c r="AL51" s="405"/>
      <c r="AM51" s="405"/>
      <c r="AN51" s="405"/>
      <c r="AO51" s="405"/>
      <c r="AP51" s="405"/>
      <c r="AQ51" s="405"/>
      <c r="AR51" s="405"/>
      <c r="AS51" s="405"/>
      <c r="AT51" s="405"/>
      <c r="AU51" s="405"/>
      <c r="AV51" s="405"/>
      <c r="AW51" s="405"/>
      <c r="AX51" s="405"/>
      <c r="AY51" s="405"/>
      <c r="AZ51" s="405"/>
      <c r="BA51" s="405"/>
      <c r="BB51" s="405"/>
      <c r="BC51" s="405"/>
      <c r="BD51" s="405"/>
      <c r="BE51" s="405"/>
      <c r="BF51" s="405"/>
      <c r="BG51" s="405"/>
      <c r="BH51" s="405"/>
      <c r="BI51" s="405"/>
      <c r="BJ51" s="405"/>
      <c r="BK51" s="405"/>
      <c r="BL51" s="405"/>
      <c r="BM51" s="405"/>
      <c r="BN51" s="405"/>
      <c r="BO51" s="405"/>
      <c r="BP51" s="405"/>
      <c r="BQ51" s="405"/>
      <c r="BR51" s="404"/>
      <c r="BS51" s="404"/>
      <c r="BT51" s="404"/>
      <c r="BU51" s="404"/>
      <c r="BV51" s="404"/>
      <c r="BW51" s="404"/>
      <c r="BX51" s="404"/>
      <c r="BY51" s="404"/>
      <c r="BZ51" s="404"/>
      <c r="CA51" s="404"/>
      <c r="CB51" s="404"/>
      <c r="CC51" s="404"/>
      <c r="CD51" s="404"/>
      <c r="CE51" s="404"/>
      <c r="CF51" s="404"/>
      <c r="CG51" s="404"/>
      <c r="CH51" s="404"/>
      <c r="CI51" s="404"/>
      <c r="CJ51" s="404"/>
      <c r="CK51" s="404"/>
      <c r="CL51" s="404"/>
      <c r="CM51" s="404"/>
      <c r="CN51" s="404"/>
      <c r="CO51" s="404"/>
      <c r="CP51" s="404"/>
      <c r="CQ51" s="404"/>
      <c r="CR51" s="404"/>
      <c r="CS51" s="404"/>
      <c r="CT51" s="404"/>
      <c r="CU51" s="404"/>
      <c r="CV51" s="404"/>
      <c r="CW51" s="404"/>
      <c r="CX51" s="404"/>
    </row>
    <row r="52" spans="1:102" s="2" customFormat="1" ht="18.75" customHeight="1" thickBot="1" x14ac:dyDescent="0.35">
      <c r="A52" s="101"/>
      <c r="B52" s="95"/>
      <c r="C52" s="111"/>
      <c r="D52" s="95"/>
      <c r="E52" s="95"/>
      <c r="F52" s="111"/>
      <c r="G52" s="111"/>
      <c r="H52" s="187"/>
      <c r="I52" s="187"/>
      <c r="J52" s="187"/>
      <c r="K52" s="111"/>
      <c r="L52" s="109"/>
      <c r="M52" s="111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23"/>
      <c r="AI52" s="23"/>
      <c r="AJ52" s="3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  <c r="CS52" s="95"/>
      <c r="CT52" s="95"/>
      <c r="CU52" s="95"/>
      <c r="CV52" s="95"/>
      <c r="CW52" s="95"/>
      <c r="CX52" s="95"/>
    </row>
    <row r="53" spans="1:102" s="2" customFormat="1" ht="19.5" thickBot="1" x14ac:dyDescent="0.35">
      <c r="A53" s="101"/>
      <c r="B53" s="843" t="s">
        <v>231</v>
      </c>
      <c r="C53" s="844"/>
      <c r="D53" s="844"/>
      <c r="E53" s="844"/>
      <c r="F53" s="845"/>
      <c r="G53" s="111"/>
      <c r="H53" s="187"/>
      <c r="I53" s="921" t="s">
        <v>229</v>
      </c>
      <c r="J53" s="921"/>
      <c r="K53" s="921"/>
      <c r="L53" s="920" t="s">
        <v>134</v>
      </c>
      <c r="M53" s="920"/>
      <c r="N53" s="920" t="s">
        <v>414</v>
      </c>
      <c r="O53" s="920"/>
      <c r="P53" s="920"/>
      <c r="Q53" s="920"/>
      <c r="R53" s="920"/>
      <c r="S53" s="920"/>
      <c r="T53" s="920"/>
      <c r="U53" s="920"/>
      <c r="V53" s="920"/>
      <c r="W53" s="920"/>
      <c r="X53" s="920"/>
      <c r="Y53" s="920"/>
      <c r="Z53" s="920" t="s">
        <v>413</v>
      </c>
      <c r="AA53" s="920"/>
      <c r="AB53" s="920"/>
      <c r="AC53" s="920"/>
      <c r="AD53" s="920"/>
      <c r="AE53" s="920"/>
      <c r="AF53" s="920"/>
      <c r="AG53" s="920"/>
      <c r="AH53" s="23"/>
      <c r="AI53" s="23"/>
      <c r="AJ53" s="425"/>
      <c r="AK53" s="23"/>
      <c r="AL53" s="23"/>
      <c r="AM53" s="23"/>
      <c r="AN53" s="512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  <c r="CU53" s="95"/>
      <c r="CV53" s="95"/>
      <c r="CW53" s="95"/>
      <c r="CX53" s="95"/>
    </row>
    <row r="54" spans="1:102" s="2" customFormat="1" ht="18.75" x14ac:dyDescent="0.3">
      <c r="A54" s="101"/>
      <c r="B54" s="95"/>
      <c r="C54" s="111"/>
      <c r="D54" s="95"/>
      <c r="E54" s="111"/>
      <c r="F54" s="111"/>
      <c r="G54" s="111"/>
      <c r="H54" s="187"/>
      <c r="I54" s="760" t="s">
        <v>11</v>
      </c>
      <c r="J54" s="204" t="s">
        <v>354</v>
      </c>
      <c r="K54" s="205" t="s">
        <v>355</v>
      </c>
      <c r="L54" s="216" t="s">
        <v>99</v>
      </c>
      <c r="M54" s="205" t="s">
        <v>98</v>
      </c>
      <c r="N54" s="229" t="s">
        <v>11</v>
      </c>
      <c r="O54" s="663" t="s">
        <v>11</v>
      </c>
      <c r="P54" s="513" t="s">
        <v>11</v>
      </c>
      <c r="Q54" s="514" t="s">
        <v>11</v>
      </c>
      <c r="R54" s="552" t="s">
        <v>11</v>
      </c>
      <c r="S54" s="692" t="s">
        <v>11</v>
      </c>
      <c r="T54" s="797" t="s">
        <v>11</v>
      </c>
      <c r="U54" s="792" t="s">
        <v>11</v>
      </c>
      <c r="V54" s="693" t="s">
        <v>11</v>
      </c>
      <c r="W54" s="665" t="s">
        <v>11</v>
      </c>
      <c r="X54" s="659" t="s">
        <v>11</v>
      </c>
      <c r="Y54" s="660" t="s">
        <v>11</v>
      </c>
      <c r="Z54" s="295" t="s">
        <v>11</v>
      </c>
      <c r="AA54" s="319" t="s">
        <v>11</v>
      </c>
      <c r="AB54" s="109" t="s">
        <v>11</v>
      </c>
      <c r="AC54" s="293" t="s">
        <v>11</v>
      </c>
      <c r="AD54" s="299" t="s">
        <v>11</v>
      </c>
      <c r="AE54" s="542" t="s">
        <v>11</v>
      </c>
      <c r="AF54" s="542" t="s">
        <v>11</v>
      </c>
      <c r="AG54" s="671" t="s">
        <v>11</v>
      </c>
      <c r="AH54" s="23"/>
      <c r="AI54" s="23"/>
      <c r="AJ54" s="54"/>
      <c r="AK54" s="23"/>
      <c r="AL54" s="23"/>
      <c r="AM54" s="23"/>
      <c r="AN54" s="23"/>
      <c r="AO54" s="23"/>
      <c r="AP54" s="23"/>
      <c r="AQ54" s="23"/>
      <c r="AR54" s="842" t="s">
        <v>64</v>
      </c>
      <c r="AS54" s="842"/>
      <c r="AT54" s="23"/>
      <c r="AU54" s="23"/>
      <c r="AV54" s="23"/>
      <c r="AW54" s="23"/>
      <c r="AX54" s="23"/>
      <c r="AY54" s="23"/>
      <c r="AZ54" s="885" t="s">
        <v>96</v>
      </c>
      <c r="BA54" s="886"/>
      <c r="BB54" s="886"/>
      <c r="BC54" s="886"/>
      <c r="BD54" s="887"/>
      <c r="BE54" s="888" t="s">
        <v>97</v>
      </c>
      <c r="BF54" s="889"/>
      <c r="BG54" s="889"/>
      <c r="BH54" s="889"/>
      <c r="BI54" s="890"/>
      <c r="BJ54" s="839" t="s">
        <v>61</v>
      </c>
      <c r="BK54" s="840"/>
      <c r="BL54" s="840"/>
      <c r="BM54" s="841"/>
      <c r="BN54" s="839" t="s">
        <v>62</v>
      </c>
      <c r="BO54" s="840"/>
      <c r="BP54" s="840"/>
      <c r="BQ54" s="841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</row>
    <row r="55" spans="1:102" s="53" customFormat="1" ht="60.75" thickBot="1" x14ac:dyDescent="0.35">
      <c r="A55" s="102"/>
      <c r="B55" s="109"/>
      <c r="C55" s="109"/>
      <c r="D55" s="109"/>
      <c r="E55" s="109"/>
      <c r="F55" s="109"/>
      <c r="G55" s="678" t="s">
        <v>24</v>
      </c>
      <c r="H55" s="679" t="s">
        <v>9</v>
      </c>
      <c r="I55" s="423" t="s">
        <v>43</v>
      </c>
      <c r="J55" s="206" t="s">
        <v>43</v>
      </c>
      <c r="K55" s="207" t="s">
        <v>43</v>
      </c>
      <c r="L55" s="217" t="s">
        <v>134</v>
      </c>
      <c r="M55" s="207" t="s">
        <v>134</v>
      </c>
      <c r="N55" s="423" t="s">
        <v>140</v>
      </c>
      <c r="O55" s="664" t="s">
        <v>297</v>
      </c>
      <c r="P55" s="516" t="s">
        <v>298</v>
      </c>
      <c r="Q55" s="517" t="s">
        <v>312</v>
      </c>
      <c r="R55" s="553" t="s">
        <v>321</v>
      </c>
      <c r="S55" s="694" t="s">
        <v>81</v>
      </c>
      <c r="T55" s="798" t="s">
        <v>532</v>
      </c>
      <c r="U55" s="518" t="s">
        <v>394</v>
      </c>
      <c r="V55" s="521" t="s">
        <v>243</v>
      </c>
      <c r="W55" s="666" t="s">
        <v>300</v>
      </c>
      <c r="X55" s="661" t="s">
        <v>141</v>
      </c>
      <c r="Y55" s="424" t="s">
        <v>301</v>
      </c>
      <c r="Z55" s="296" t="s">
        <v>123</v>
      </c>
      <c r="AA55" s="320" t="s">
        <v>299</v>
      </c>
      <c r="AB55" s="409" t="s">
        <v>129</v>
      </c>
      <c r="AC55" s="412" t="s">
        <v>292</v>
      </c>
      <c r="AD55" s="300" t="s">
        <v>323</v>
      </c>
      <c r="AE55" s="541" t="s">
        <v>322</v>
      </c>
      <c r="AF55" s="541" t="s">
        <v>346</v>
      </c>
      <c r="AG55" s="672" t="s">
        <v>403</v>
      </c>
      <c r="AH55" s="54"/>
      <c r="AI55" s="54"/>
      <c r="AJ55" s="426"/>
      <c r="AK55" s="50" t="s">
        <v>24</v>
      </c>
      <c r="AL55" s="286" t="s">
        <v>25</v>
      </c>
      <c r="AM55" s="286" t="s">
        <v>9</v>
      </c>
      <c r="AN55" s="50" t="s">
        <v>27</v>
      </c>
      <c r="AO55" s="50" t="s">
        <v>26</v>
      </c>
      <c r="AP55" s="50" t="s">
        <v>28</v>
      </c>
      <c r="AQ55" s="50" t="s">
        <v>29</v>
      </c>
      <c r="AR55" s="50" t="s">
        <v>30</v>
      </c>
      <c r="AS55" s="50" t="s">
        <v>33</v>
      </c>
      <c r="AT55" s="50" t="s">
        <v>36</v>
      </c>
      <c r="AU55" s="50" t="s">
        <v>32</v>
      </c>
      <c r="AV55" s="50" t="s">
        <v>35</v>
      </c>
      <c r="AW55" s="51" t="s">
        <v>34</v>
      </c>
      <c r="AX55" s="50" t="s">
        <v>38</v>
      </c>
      <c r="AY55" s="50" t="s">
        <v>37</v>
      </c>
      <c r="AZ55" s="151" t="s">
        <v>63</v>
      </c>
      <c r="BA55" s="168" t="s">
        <v>33</v>
      </c>
      <c r="BB55" s="50" t="s">
        <v>36</v>
      </c>
      <c r="BC55" s="51" t="s">
        <v>34</v>
      </c>
      <c r="BD55" s="168"/>
      <c r="BE55" s="152" t="s">
        <v>63</v>
      </c>
      <c r="BF55" s="169" t="s">
        <v>33</v>
      </c>
      <c r="BG55" s="50" t="s">
        <v>36</v>
      </c>
      <c r="BH55" s="51" t="s">
        <v>34</v>
      </c>
      <c r="BI55" s="168"/>
      <c r="BJ55" s="50" t="s">
        <v>63</v>
      </c>
      <c r="BK55" s="52" t="s">
        <v>31</v>
      </c>
      <c r="BL55" s="50" t="s">
        <v>33</v>
      </c>
      <c r="BM55" s="52" t="s">
        <v>31</v>
      </c>
      <c r="BN55" s="50" t="s">
        <v>63</v>
      </c>
      <c r="BO55" s="52" t="s">
        <v>31</v>
      </c>
      <c r="BP55" s="50" t="s">
        <v>33</v>
      </c>
      <c r="BQ55" s="52" t="s">
        <v>31</v>
      </c>
      <c r="BR55" s="109"/>
      <c r="BS55" s="109"/>
      <c r="BT55" s="109"/>
      <c r="BU55" s="109"/>
      <c r="BV55" s="109"/>
      <c r="BW55" s="109"/>
      <c r="BX55" s="109"/>
      <c r="BY55" s="109"/>
      <c r="BZ55" s="109"/>
      <c r="CA55" s="109"/>
      <c r="CB55" s="109"/>
      <c r="CC55" s="109"/>
      <c r="CD55" s="109"/>
      <c r="CE55" s="109"/>
      <c r="CF55" s="109"/>
      <c r="CG55" s="109"/>
      <c r="CH55" s="109"/>
      <c r="CI55" s="109"/>
      <c r="CJ55" s="109"/>
      <c r="CK55" s="109"/>
      <c r="CL55" s="109"/>
      <c r="CM55" s="109"/>
      <c r="CN55" s="109"/>
      <c r="CO55" s="109"/>
      <c r="CP55" s="109"/>
      <c r="CQ55" s="109"/>
      <c r="CR55" s="109"/>
      <c r="CS55" s="109"/>
      <c r="CT55" s="109"/>
      <c r="CU55" s="109"/>
      <c r="CV55" s="109"/>
      <c r="CW55" s="109"/>
      <c r="CX55" s="109"/>
    </row>
    <row r="56" spans="1:102" s="64" customFormat="1" ht="15.75" thickBot="1" x14ac:dyDescent="0.35">
      <c r="A56" s="103"/>
      <c r="B56" s="110"/>
      <c r="C56" s="156"/>
      <c r="D56" s="110"/>
      <c r="E56" s="156"/>
      <c r="F56" s="156"/>
      <c r="G56" s="680">
        <v>0</v>
      </c>
      <c r="H56" s="681">
        <f>AO56</f>
        <v>46189.75</v>
      </c>
      <c r="I56" s="218">
        <f>AR56</f>
        <v>0</v>
      </c>
      <c r="J56" s="209">
        <f>AZ56</f>
        <v>0</v>
      </c>
      <c r="K56" s="210">
        <f>BE56</f>
        <v>0</v>
      </c>
      <c r="L56" s="218">
        <f>BJ56</f>
        <v>0</v>
      </c>
      <c r="M56" s="219">
        <f>BN56</f>
        <v>0</v>
      </c>
      <c r="N56" s="218">
        <v>0</v>
      </c>
      <c r="O56" s="519">
        <v>0</v>
      </c>
      <c r="P56" s="519">
        <v>0</v>
      </c>
      <c r="Q56" s="519">
        <v>0</v>
      </c>
      <c r="R56" s="519">
        <v>0</v>
      </c>
      <c r="S56" s="218">
        <v>0</v>
      </c>
      <c r="T56" s="519">
        <v>0</v>
      </c>
      <c r="U56" s="519">
        <v>0</v>
      </c>
      <c r="V56" s="519">
        <v>0</v>
      </c>
      <c r="W56" s="519">
        <v>0</v>
      </c>
      <c r="X56" s="519">
        <v>0</v>
      </c>
      <c r="Y56" s="219">
        <v>0</v>
      </c>
      <c r="Z56" s="208">
        <v>0</v>
      </c>
      <c r="AA56" s="371">
        <v>0</v>
      </c>
      <c r="AB56" s="371">
        <v>0</v>
      </c>
      <c r="AC56" s="211">
        <v>0</v>
      </c>
      <c r="AD56" s="208">
        <v>0</v>
      </c>
      <c r="AE56" s="371">
        <v>0</v>
      </c>
      <c r="AF56" s="371">
        <v>0</v>
      </c>
      <c r="AG56" s="211">
        <v>0</v>
      </c>
      <c r="AH56" s="41"/>
      <c r="AI56" s="41"/>
      <c r="AJ56" s="427"/>
      <c r="AK56" s="68">
        <v>0</v>
      </c>
      <c r="AL56" s="287">
        <f>WEEKDAY(AM56)</f>
        <v>3</v>
      </c>
      <c r="AM56" s="288">
        <f>AI3</f>
        <v>46189</v>
      </c>
      <c r="AN56" s="55">
        <v>0.75</v>
      </c>
      <c r="AO56" s="56">
        <f>AM56+AN56</f>
        <v>46189.75</v>
      </c>
      <c r="AP56" s="57"/>
      <c r="AQ56" s="57"/>
      <c r="AR56" s="58">
        <v>0</v>
      </c>
      <c r="AS56" s="31">
        <v>0</v>
      </c>
      <c r="AT56" s="59"/>
      <c r="AU56" s="60"/>
      <c r="AV56" s="60"/>
      <c r="AW56" s="61"/>
      <c r="AX56" s="62"/>
      <c r="AY56" s="61"/>
      <c r="AZ56" s="195">
        <f>AR56</f>
        <v>0</v>
      </c>
      <c r="BA56" s="196">
        <f>AS56</f>
        <v>0</v>
      </c>
      <c r="BB56" s="628"/>
      <c r="BC56" s="631"/>
      <c r="BD56" s="629"/>
      <c r="BE56" s="195">
        <f>AR56</f>
        <v>0</v>
      </c>
      <c r="BF56" s="196">
        <f>AS56</f>
        <v>0</v>
      </c>
      <c r="BG56" s="628"/>
      <c r="BH56" s="631"/>
      <c r="BI56" s="629"/>
      <c r="BJ56" s="60">
        <f>BO56</f>
        <v>0</v>
      </c>
      <c r="BK56" s="63"/>
      <c r="BL56" s="43"/>
      <c r="BM56" s="48"/>
      <c r="BN56" s="60"/>
      <c r="BO56" s="63"/>
      <c r="BP56" s="43"/>
      <c r="BQ56" s="48"/>
      <c r="BR56" s="110"/>
      <c r="BS56" s="110"/>
      <c r="BT56" s="110"/>
      <c r="BU56" s="110"/>
      <c r="BV56" s="110"/>
      <c r="BW56" s="110"/>
      <c r="BX56" s="110"/>
      <c r="BY56" s="110"/>
      <c r="BZ56" s="110"/>
      <c r="CA56" s="110"/>
      <c r="CB56" s="110"/>
      <c r="CC56" s="110"/>
      <c r="CD56" s="110"/>
      <c r="CE56" s="110"/>
      <c r="CF56" s="110"/>
      <c r="CG56" s="110"/>
      <c r="CH56" s="110"/>
      <c r="CI56" s="110"/>
      <c r="CJ56" s="110"/>
      <c r="CK56" s="110"/>
      <c r="CL56" s="110"/>
      <c r="CM56" s="110"/>
      <c r="CN56" s="110"/>
      <c r="CO56" s="110"/>
      <c r="CP56" s="110"/>
      <c r="CQ56" s="110"/>
      <c r="CR56" s="110"/>
      <c r="CS56" s="110"/>
      <c r="CT56" s="110"/>
      <c r="CU56" s="110"/>
      <c r="CV56" s="110"/>
      <c r="CW56" s="110"/>
      <c r="CX56" s="110"/>
    </row>
    <row r="57" spans="1:102" s="64" customFormat="1" ht="15.75" thickBot="1" x14ac:dyDescent="0.35">
      <c r="A57" s="103"/>
      <c r="B57" s="110"/>
      <c r="C57" s="156"/>
      <c r="D57" s="110"/>
      <c r="E57" s="156"/>
      <c r="F57" s="156"/>
      <c r="G57" s="680">
        <v>1</v>
      </c>
      <c r="H57" s="681">
        <f t="shared" ref="H57:H77" si="18">AO57</f>
        <v>46190.902083333334</v>
      </c>
      <c r="I57" s="218">
        <f t="shared" ref="I57:I77" si="19">AR57</f>
        <v>136568</v>
      </c>
      <c r="J57" s="209">
        <f t="shared" ref="J57:J77" si="20">AZ57</f>
        <v>136568</v>
      </c>
      <c r="K57" s="210">
        <f t="shared" ref="K57:K77" si="21">BE57</f>
        <v>136568</v>
      </c>
      <c r="L57" s="218">
        <f t="shared" ref="L57:L77" si="22">BJ57</f>
        <v>136568</v>
      </c>
      <c r="M57" s="219">
        <f t="shared" ref="M57:M76" si="23">BN57</f>
        <v>136568</v>
      </c>
      <c r="N57" s="399"/>
      <c r="O57" s="209">
        <v>89735</v>
      </c>
      <c r="P57" s="209">
        <v>97183</v>
      </c>
      <c r="Q57" s="209">
        <v>88345</v>
      </c>
      <c r="R57" s="209">
        <v>117333.01</v>
      </c>
      <c r="S57" s="399">
        <v>82966</v>
      </c>
      <c r="T57" s="209">
        <v>128054</v>
      </c>
      <c r="U57" s="209">
        <v>0</v>
      </c>
      <c r="V57" s="519">
        <v>25960</v>
      </c>
      <c r="W57" s="209">
        <v>39596</v>
      </c>
      <c r="X57" s="209">
        <v>43437</v>
      </c>
      <c r="Y57" s="210">
        <v>76466</v>
      </c>
      <c r="Z57" s="396">
        <v>36402</v>
      </c>
      <c r="AA57" s="397">
        <v>26725</v>
      </c>
      <c r="AB57" s="397">
        <v>8357</v>
      </c>
      <c r="AC57" s="211">
        <v>17251</v>
      </c>
      <c r="AD57" s="396">
        <v>14771</v>
      </c>
      <c r="AE57" s="397">
        <v>19612</v>
      </c>
      <c r="AF57" s="397"/>
      <c r="AG57" s="398">
        <v>183428.34</v>
      </c>
      <c r="AH57" s="41"/>
      <c r="AI57" s="41"/>
      <c r="AJ57" s="428"/>
      <c r="AK57" s="68">
        <v>1</v>
      </c>
      <c r="AL57" s="400">
        <f t="shared" ref="AL57:AL77" si="24">WEEKDAY(AM57)</f>
        <v>4</v>
      </c>
      <c r="AM57" s="401">
        <f>AM56+1</f>
        <v>46190</v>
      </c>
      <c r="AN57" s="55">
        <v>0.90208333333333335</v>
      </c>
      <c r="AO57" s="56">
        <f t="shared" ref="AO57:AO77" si="25">AM57+AN57</f>
        <v>46190.902083333334</v>
      </c>
      <c r="AP57" s="57">
        <f t="shared" ref="AP57:AP77" si="26">AO57-$AO$56</f>
        <v>1.1520833333343035</v>
      </c>
      <c r="AQ57" s="57">
        <f>AP57-AP56</f>
        <v>1.1520833333343035</v>
      </c>
      <c r="AR57" s="65">
        <v>136568</v>
      </c>
      <c r="AS57" s="66">
        <v>723</v>
      </c>
      <c r="AT57" s="402">
        <f t="shared" ref="AT57:AT77" si="27">AS57-AS56</f>
        <v>723</v>
      </c>
      <c r="AU57" s="403">
        <f>AR57-AR56</f>
        <v>136568</v>
      </c>
      <c r="AV57" s="60">
        <f t="shared" ref="AV57:AV77" si="28">AR57/AP57</f>
        <v>118540.03616626546</v>
      </c>
      <c r="AW57" s="61">
        <f t="shared" ref="AW57:AW77" si="29">AR57/AS57</f>
        <v>188.89073305670817</v>
      </c>
      <c r="AX57" s="62">
        <f>(AU57-AR56)/(AT57-AS56)</f>
        <v>188.89073305670817</v>
      </c>
      <c r="AY57" s="62">
        <f>SUM(AU57:AU57)/SUM(AT57:AT57)</f>
        <v>188.89073305670817</v>
      </c>
      <c r="AZ57" s="65">
        <f>AR57</f>
        <v>136568</v>
      </c>
      <c r="BA57" s="66">
        <f>AS57</f>
        <v>723</v>
      </c>
      <c r="BB57" s="402">
        <f t="shared" ref="BB57:BB77" si="30">BA57-BA56</f>
        <v>723</v>
      </c>
      <c r="BC57" s="631">
        <f>AZ57/BA57</f>
        <v>188.89073305670817</v>
      </c>
      <c r="BD57" s="630">
        <f>AZ57-AZ56</f>
        <v>136568</v>
      </c>
      <c r="BE57" s="65">
        <f>AR57</f>
        <v>136568</v>
      </c>
      <c r="BF57" s="66">
        <f>AS57</f>
        <v>723</v>
      </c>
      <c r="BG57" s="402">
        <f t="shared" ref="BG57:BG77" si="31">BF57-BF56</f>
        <v>723</v>
      </c>
      <c r="BH57" s="631">
        <f>BE57/BF57</f>
        <v>188.89073305670817</v>
      </c>
      <c r="BI57" s="630">
        <f>BE57-BE56</f>
        <v>136568</v>
      </c>
      <c r="BJ57" s="60">
        <f>AR57</f>
        <v>136568</v>
      </c>
      <c r="BK57" s="60">
        <f>AR57-BJ57</f>
        <v>0</v>
      </c>
      <c r="BL57" s="67">
        <f>AS57</f>
        <v>723</v>
      </c>
      <c r="BM57" s="43">
        <f>AS57-BL57</f>
        <v>0</v>
      </c>
      <c r="BN57" s="60">
        <f>BJ57</f>
        <v>136568</v>
      </c>
      <c r="BO57" s="60">
        <f>AR57-BN57</f>
        <v>0</v>
      </c>
      <c r="BP57" s="67">
        <f>BL57</f>
        <v>723</v>
      </c>
      <c r="BQ57" s="43">
        <f>AS57-BP57</f>
        <v>0</v>
      </c>
      <c r="BR57" s="110"/>
      <c r="BS57" s="110"/>
      <c r="BT57" s="110"/>
      <c r="BU57" s="110"/>
      <c r="BV57" s="110"/>
      <c r="BW57" s="110"/>
      <c r="BX57" s="110"/>
      <c r="BY57" s="110"/>
      <c r="BZ57" s="110"/>
      <c r="CA57" s="110"/>
      <c r="CB57" s="110"/>
      <c r="CC57" s="110"/>
      <c r="CD57" s="110"/>
      <c r="CE57" s="110"/>
      <c r="CF57" s="110"/>
      <c r="CG57" s="110"/>
      <c r="CH57" s="110"/>
      <c r="CI57" s="110"/>
      <c r="CJ57" s="110"/>
      <c r="CK57" s="110"/>
      <c r="CL57" s="110"/>
      <c r="CM57" s="110"/>
      <c r="CN57" s="110"/>
      <c r="CO57" s="110"/>
      <c r="CP57" s="110"/>
      <c r="CQ57" s="110"/>
      <c r="CR57" s="110"/>
      <c r="CS57" s="110"/>
      <c r="CT57" s="110"/>
      <c r="CU57" s="110"/>
      <c r="CV57" s="110"/>
      <c r="CW57" s="110"/>
      <c r="CX57" s="110"/>
    </row>
    <row r="58" spans="1:102" s="64" customFormat="1" x14ac:dyDescent="0.3">
      <c r="A58" s="103"/>
      <c r="B58" s="110"/>
      <c r="C58" s="156"/>
      <c r="D58" s="110"/>
      <c r="E58" s="156"/>
      <c r="F58" s="156"/>
      <c r="G58" s="680">
        <v>2</v>
      </c>
      <c r="H58" s="681">
        <f t="shared" si="18"/>
        <v>46191.770833333336</v>
      </c>
      <c r="I58" s="218">
        <f t="shared" ref="I58:I62" si="32">AR58</f>
        <v>155624</v>
      </c>
      <c r="J58" s="209">
        <f t="shared" ref="J58:J62" si="33">AZ58</f>
        <v>155624</v>
      </c>
      <c r="K58" s="210">
        <f t="shared" ref="K58:K62" si="34">BE58</f>
        <v>155624</v>
      </c>
      <c r="L58" s="218">
        <f t="shared" ref="L58:L62" si="35">BJ58</f>
        <v>155624</v>
      </c>
      <c r="M58" s="219">
        <f t="shared" ref="M58:M62" si="36">BN58</f>
        <v>155624</v>
      </c>
      <c r="N58" s="399">
        <v>65000</v>
      </c>
      <c r="O58" s="209">
        <v>114003</v>
      </c>
      <c r="P58" s="209">
        <v>121393</v>
      </c>
      <c r="Q58" s="209">
        <v>113466</v>
      </c>
      <c r="R58" s="209">
        <v>142540.60999999999</v>
      </c>
      <c r="S58" s="399">
        <v>96328</v>
      </c>
      <c r="T58" s="209">
        <v>153928</v>
      </c>
      <c r="U58" s="209">
        <v>104949</v>
      </c>
      <c r="V58" s="519">
        <v>35712</v>
      </c>
      <c r="W58" s="209">
        <v>55623</v>
      </c>
      <c r="X58" s="209">
        <v>49522</v>
      </c>
      <c r="Y58" s="210">
        <v>100197</v>
      </c>
      <c r="Z58" s="396">
        <v>42659</v>
      </c>
      <c r="AA58" s="397">
        <v>32416</v>
      </c>
      <c r="AB58" s="397">
        <v>11433</v>
      </c>
      <c r="AC58" s="433"/>
      <c r="AD58" s="396">
        <v>16764</v>
      </c>
      <c r="AE58" s="397">
        <v>24532</v>
      </c>
      <c r="AF58" s="397"/>
      <c r="AG58" s="398">
        <v>211630.27</v>
      </c>
      <c r="AH58" s="41"/>
      <c r="AI58" s="41"/>
      <c r="AJ58" s="428"/>
      <c r="AK58" s="68">
        <v>2</v>
      </c>
      <c r="AL58" s="400">
        <f t="shared" si="24"/>
        <v>5</v>
      </c>
      <c r="AM58" s="401">
        <f t="shared" ref="AM58:AM77" si="37">AM57+1</f>
        <v>46191</v>
      </c>
      <c r="AN58" s="55">
        <v>0.77083333333333337</v>
      </c>
      <c r="AO58" s="56">
        <f t="shared" si="25"/>
        <v>46191.770833333336</v>
      </c>
      <c r="AP58" s="57">
        <f t="shared" si="26"/>
        <v>2.0208333333357587</v>
      </c>
      <c r="AQ58" s="57">
        <f t="shared" ref="AQ58:AQ77" si="38">AP58-AP57</f>
        <v>0.86875000000145519</v>
      </c>
      <c r="AR58" s="65">
        <v>155624</v>
      </c>
      <c r="AS58" s="66">
        <v>827</v>
      </c>
      <c r="AT58" s="466">
        <f t="shared" si="27"/>
        <v>104</v>
      </c>
      <c r="AU58" s="60">
        <f t="shared" ref="AU58:AU77" si="39">AR58-AR57</f>
        <v>19056</v>
      </c>
      <c r="AV58" s="60">
        <f t="shared" si="28"/>
        <v>77009.81443289727</v>
      </c>
      <c r="AW58" s="61">
        <f t="shared" si="29"/>
        <v>188.17896009673518</v>
      </c>
      <c r="AX58" s="62">
        <f t="shared" ref="AX58:AX77" si="40">AU58/AT58</f>
        <v>183.23076923076923</v>
      </c>
      <c r="AY58" s="62">
        <f>SUM(AU57:AU58)/SUM(AT57:AT58)</f>
        <v>188.17896009673518</v>
      </c>
      <c r="AZ58" s="65">
        <f t="shared" ref="AZ58" si="41">AR58</f>
        <v>155624</v>
      </c>
      <c r="BA58" s="66">
        <f t="shared" ref="BA58" si="42">AS58</f>
        <v>827</v>
      </c>
      <c r="BB58" s="402">
        <f t="shared" si="30"/>
        <v>104</v>
      </c>
      <c r="BC58" s="631">
        <f t="shared" ref="BC58:BC77" si="43">AZ58/BA58</f>
        <v>188.17896009673518</v>
      </c>
      <c r="BD58" s="60">
        <f t="shared" ref="BD58:BD77" si="44">AZ58-AZ57</f>
        <v>19056</v>
      </c>
      <c r="BE58" s="65">
        <f t="shared" ref="BE58" si="45">AR58</f>
        <v>155624</v>
      </c>
      <c r="BF58" s="66">
        <f t="shared" ref="BF58" si="46">AS58</f>
        <v>827</v>
      </c>
      <c r="BG58" s="402">
        <f t="shared" si="31"/>
        <v>104</v>
      </c>
      <c r="BH58" s="631">
        <f t="shared" ref="BH58:BH77" si="47">BE58/BF58</f>
        <v>188.17896009673518</v>
      </c>
      <c r="BI58" s="60">
        <f t="shared" ref="BI58:BI77" si="48">BE58-BE57</f>
        <v>19056</v>
      </c>
      <c r="BJ58" s="60">
        <f>AR58</f>
        <v>155624</v>
      </c>
      <c r="BK58" s="60">
        <f>AR58-BJ58</f>
        <v>0</v>
      </c>
      <c r="BL58" s="67">
        <f>AS58</f>
        <v>827</v>
      </c>
      <c r="BM58" s="43">
        <f t="shared" ref="BM58" si="49">AS58-BL58</f>
        <v>0</v>
      </c>
      <c r="BN58" s="60">
        <f>BJ58</f>
        <v>155624</v>
      </c>
      <c r="BO58" s="60">
        <f t="shared" ref="BO58" si="50">AR58-BN58</f>
        <v>0</v>
      </c>
      <c r="BP58" s="67">
        <f>BL58</f>
        <v>827</v>
      </c>
      <c r="BQ58" s="43">
        <f t="shared" ref="BQ58" si="51">AS58-BP58</f>
        <v>0</v>
      </c>
      <c r="BR58" s="110"/>
      <c r="BS58" s="110"/>
      <c r="BT58" s="110"/>
      <c r="BU58" s="110"/>
      <c r="BV58" s="110"/>
      <c r="BW58" s="110"/>
      <c r="BX58" s="110"/>
      <c r="BY58" s="110"/>
      <c r="BZ58" s="110"/>
      <c r="CA58" s="110"/>
      <c r="CB58" s="110"/>
      <c r="CC58" s="110"/>
      <c r="CD58" s="110"/>
      <c r="CE58" s="110"/>
      <c r="CF58" s="110"/>
      <c r="CG58" s="110"/>
      <c r="CH58" s="110"/>
      <c r="CI58" s="110"/>
      <c r="CJ58" s="110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  <c r="CX58" s="110"/>
    </row>
    <row r="59" spans="1:102" s="64" customFormat="1" x14ac:dyDescent="0.3">
      <c r="A59" s="103"/>
      <c r="B59" s="110"/>
      <c r="C59" s="156"/>
      <c r="D59" s="110"/>
      <c r="E59" s="156"/>
      <c r="F59" s="156"/>
      <c r="G59" s="680">
        <v>3</v>
      </c>
      <c r="H59" s="681">
        <f t="shared" si="18"/>
        <v>46192.809027777781</v>
      </c>
      <c r="I59" s="218">
        <f t="shared" si="32"/>
        <v>169724</v>
      </c>
      <c r="J59" s="209">
        <f t="shared" si="33"/>
        <v>169724</v>
      </c>
      <c r="K59" s="210">
        <f t="shared" si="34"/>
        <v>169724</v>
      </c>
      <c r="L59" s="218">
        <f t="shared" si="35"/>
        <v>169724</v>
      </c>
      <c r="M59" s="219">
        <f t="shared" si="36"/>
        <v>169724</v>
      </c>
      <c r="N59" s="399"/>
      <c r="O59" s="209">
        <v>122519</v>
      </c>
      <c r="P59" s="209">
        <v>143837</v>
      </c>
      <c r="Q59" s="209">
        <v>126235</v>
      </c>
      <c r="R59" s="209">
        <v>158884.32</v>
      </c>
      <c r="S59" s="399">
        <v>115147</v>
      </c>
      <c r="T59" s="209">
        <v>170463</v>
      </c>
      <c r="U59" s="209">
        <v>140168</v>
      </c>
      <c r="V59" s="519">
        <v>39341</v>
      </c>
      <c r="W59" s="209">
        <v>65490</v>
      </c>
      <c r="X59" s="209">
        <v>53901</v>
      </c>
      <c r="Y59" s="210">
        <v>110488</v>
      </c>
      <c r="Z59" s="396">
        <v>45273</v>
      </c>
      <c r="AA59" s="397">
        <v>38191</v>
      </c>
      <c r="AB59" s="397">
        <v>13158</v>
      </c>
      <c r="AC59" s="433"/>
      <c r="AD59" s="396">
        <v>17674</v>
      </c>
      <c r="AE59" s="397">
        <v>27671</v>
      </c>
      <c r="AF59" s="397"/>
      <c r="AG59" s="398">
        <v>226553.17</v>
      </c>
      <c r="AH59" s="41"/>
      <c r="AI59" s="41"/>
      <c r="AJ59" s="428"/>
      <c r="AK59" s="68">
        <v>3</v>
      </c>
      <c r="AL59" s="400">
        <f t="shared" si="24"/>
        <v>6</v>
      </c>
      <c r="AM59" s="401">
        <f t="shared" si="37"/>
        <v>46192</v>
      </c>
      <c r="AN59" s="55">
        <v>0.80902777777777779</v>
      </c>
      <c r="AO59" s="56">
        <f t="shared" si="25"/>
        <v>46192.809027777781</v>
      </c>
      <c r="AP59" s="57">
        <f t="shared" si="26"/>
        <v>3.0590277777810115</v>
      </c>
      <c r="AQ59" s="57">
        <f t="shared" si="38"/>
        <v>1.0381944444452529</v>
      </c>
      <c r="AR59" s="65">
        <v>169724</v>
      </c>
      <c r="AS59" s="66">
        <v>887</v>
      </c>
      <c r="AT59" s="466">
        <f t="shared" si="27"/>
        <v>60</v>
      </c>
      <c r="AU59" s="60">
        <f t="shared" si="39"/>
        <v>14100</v>
      </c>
      <c r="AV59" s="60">
        <f t="shared" si="28"/>
        <v>55482.987514129767</v>
      </c>
      <c r="AW59" s="61">
        <f t="shared" si="29"/>
        <v>191.34611048478016</v>
      </c>
      <c r="AX59" s="62">
        <f t="shared" si="40"/>
        <v>235</v>
      </c>
      <c r="AY59" s="62">
        <f>SUM(AU57:AU59)/SUM(AT57:AT59)</f>
        <v>191.34611048478016</v>
      </c>
      <c r="AZ59" s="65">
        <f t="shared" ref="AZ59:AZ60" si="52">AR59</f>
        <v>169724</v>
      </c>
      <c r="BA59" s="66">
        <f t="shared" ref="BA59:BA60" si="53">AS59</f>
        <v>887</v>
      </c>
      <c r="BB59" s="402">
        <f t="shared" si="30"/>
        <v>60</v>
      </c>
      <c r="BC59" s="631">
        <f t="shared" si="43"/>
        <v>191.34611048478016</v>
      </c>
      <c r="BD59" s="60">
        <f t="shared" si="44"/>
        <v>14100</v>
      </c>
      <c r="BE59" s="65">
        <f t="shared" ref="BE59" si="54">AR59</f>
        <v>169724</v>
      </c>
      <c r="BF59" s="66">
        <f t="shared" ref="BF59" si="55">AS59</f>
        <v>887</v>
      </c>
      <c r="BG59" s="402">
        <f t="shared" si="31"/>
        <v>60</v>
      </c>
      <c r="BH59" s="631">
        <f t="shared" si="47"/>
        <v>191.34611048478016</v>
      </c>
      <c r="BI59" s="60">
        <f t="shared" si="48"/>
        <v>14100</v>
      </c>
      <c r="BJ59" s="60">
        <f t="shared" ref="BJ59:BJ60" si="56">AR59</f>
        <v>169724</v>
      </c>
      <c r="BK59" s="60">
        <f t="shared" ref="BK59:BK60" si="57">AR59-BJ59</f>
        <v>0</v>
      </c>
      <c r="BL59" s="67">
        <f t="shared" ref="BL59:BL60" si="58">AS59</f>
        <v>887</v>
      </c>
      <c r="BM59" s="43">
        <f t="shared" ref="BM59:BM60" si="59">AS59-BL59</f>
        <v>0</v>
      </c>
      <c r="BN59" s="60">
        <f t="shared" ref="BN59:BN60" si="60">BJ59</f>
        <v>169724</v>
      </c>
      <c r="BO59" s="60">
        <f t="shared" ref="BO59:BO60" si="61">AR59-BN59</f>
        <v>0</v>
      </c>
      <c r="BP59" s="67">
        <f t="shared" ref="BP59:BP60" si="62">BL59</f>
        <v>887</v>
      </c>
      <c r="BQ59" s="43">
        <f t="shared" ref="BQ59:BQ62" si="63">AS59-BP59</f>
        <v>0</v>
      </c>
      <c r="BR59" s="110"/>
      <c r="BS59" s="110"/>
      <c r="BT59" s="110"/>
      <c r="BU59" s="110"/>
      <c r="BV59" s="110"/>
      <c r="BW59" s="110"/>
      <c r="BX59" s="110"/>
      <c r="BY59" s="110"/>
      <c r="BZ59" s="110"/>
      <c r="CA59" s="110"/>
      <c r="CB59" s="110"/>
      <c r="CC59" s="110"/>
      <c r="CD59" s="110"/>
      <c r="CE59" s="110"/>
      <c r="CF59" s="110"/>
      <c r="CG59" s="110"/>
      <c r="CH59" s="110"/>
      <c r="CI59" s="110"/>
      <c r="CJ59" s="110"/>
      <c r="CK59" s="110"/>
      <c r="CL59" s="110"/>
      <c r="CM59" s="110"/>
      <c r="CN59" s="110"/>
      <c r="CO59" s="110"/>
      <c r="CP59" s="110"/>
      <c r="CQ59" s="110"/>
      <c r="CR59" s="110"/>
      <c r="CS59" s="110"/>
      <c r="CT59" s="110"/>
      <c r="CU59" s="110"/>
      <c r="CV59" s="110"/>
      <c r="CW59" s="110"/>
      <c r="CX59" s="110"/>
    </row>
    <row r="60" spans="1:102" s="64" customFormat="1" x14ac:dyDescent="0.3">
      <c r="A60" s="103"/>
      <c r="B60" s="110"/>
      <c r="C60" s="156"/>
      <c r="D60" s="110"/>
      <c r="E60" s="156"/>
      <c r="F60" s="156"/>
      <c r="G60" s="680">
        <v>4</v>
      </c>
      <c r="H60" s="681">
        <f t="shared" si="18"/>
        <v>46193.754166666666</v>
      </c>
      <c r="I60" s="218">
        <f t="shared" si="32"/>
        <v>179924</v>
      </c>
      <c r="J60" s="209">
        <f t="shared" si="33"/>
        <v>179924</v>
      </c>
      <c r="K60" s="210">
        <f t="shared" si="34"/>
        <v>179924</v>
      </c>
      <c r="L60" s="218">
        <f t="shared" ref="L60" si="64">BJ60</f>
        <v>179924</v>
      </c>
      <c r="M60" s="219">
        <f t="shared" ref="M60" si="65">BN60</f>
        <v>179924</v>
      </c>
      <c r="N60" s="399"/>
      <c r="O60" s="209">
        <v>127604</v>
      </c>
      <c r="P60" s="209">
        <v>156839</v>
      </c>
      <c r="Q60" s="209">
        <v>134183</v>
      </c>
      <c r="R60" s="209">
        <v>172623.29</v>
      </c>
      <c r="S60" s="399">
        <v>123834</v>
      </c>
      <c r="T60" s="209">
        <v>183900</v>
      </c>
      <c r="U60" s="209">
        <v>153491</v>
      </c>
      <c r="V60" s="519">
        <v>43256</v>
      </c>
      <c r="W60" s="209">
        <v>69834</v>
      </c>
      <c r="X60" s="209">
        <v>59963</v>
      </c>
      <c r="Y60" s="210">
        <v>117325</v>
      </c>
      <c r="Z60" s="396">
        <v>47957</v>
      </c>
      <c r="AA60" s="397">
        <v>41597</v>
      </c>
      <c r="AB60" s="397">
        <v>14235</v>
      </c>
      <c r="AC60" s="433"/>
      <c r="AD60" s="396">
        <v>18881</v>
      </c>
      <c r="AE60" s="397">
        <v>30324</v>
      </c>
      <c r="AF60" s="397"/>
      <c r="AG60" s="398">
        <v>277418.56</v>
      </c>
      <c r="AH60" s="41"/>
      <c r="AI60" s="41"/>
      <c r="AJ60" s="428"/>
      <c r="AK60" s="68">
        <v>4</v>
      </c>
      <c r="AL60" s="747">
        <f t="shared" si="24"/>
        <v>7</v>
      </c>
      <c r="AM60" s="401">
        <f t="shared" si="37"/>
        <v>46193</v>
      </c>
      <c r="AN60" s="55">
        <v>0.75416666666666665</v>
      </c>
      <c r="AO60" s="56">
        <f t="shared" si="25"/>
        <v>46193.754166666666</v>
      </c>
      <c r="AP60" s="57">
        <f t="shared" si="26"/>
        <v>4.0041666666656965</v>
      </c>
      <c r="AQ60" s="57">
        <f t="shared" si="38"/>
        <v>0.945138888884685</v>
      </c>
      <c r="AR60" s="65">
        <v>179924</v>
      </c>
      <c r="AS60" s="66">
        <v>938</v>
      </c>
      <c r="AT60" s="466">
        <f t="shared" si="27"/>
        <v>51</v>
      </c>
      <c r="AU60" s="60">
        <f t="shared" ref="AU60:AU61" si="66">AR60-AR59</f>
        <v>10200</v>
      </c>
      <c r="AV60" s="60">
        <f t="shared" ref="AV60" si="67">AR60/AP60</f>
        <v>44934.193548397983</v>
      </c>
      <c r="AW60" s="61">
        <f t="shared" ref="AW60" si="68">AR60/AS60</f>
        <v>191.81663113006397</v>
      </c>
      <c r="AX60" s="62">
        <f t="shared" ref="AX60" si="69">AU60/AT60</f>
        <v>200</v>
      </c>
      <c r="AY60" s="62">
        <f>SUM(AU58:AU60)/SUM(AT58:AT60)</f>
        <v>201.65581395348838</v>
      </c>
      <c r="AZ60" s="65">
        <f t="shared" si="52"/>
        <v>179924</v>
      </c>
      <c r="BA60" s="66">
        <f t="shared" si="53"/>
        <v>938</v>
      </c>
      <c r="BB60" s="402">
        <f t="shared" ref="BB60" si="70">BA60-BA59</f>
        <v>51</v>
      </c>
      <c r="BC60" s="631">
        <f t="shared" ref="BC60" si="71">AZ60/BA60</f>
        <v>191.81663113006397</v>
      </c>
      <c r="BD60" s="60">
        <f t="shared" ref="BD60" si="72">AZ60-AZ59</f>
        <v>10200</v>
      </c>
      <c r="BE60" s="65">
        <f t="shared" ref="BE60" si="73">AR60</f>
        <v>179924</v>
      </c>
      <c r="BF60" s="66">
        <f t="shared" ref="BF60" si="74">AS60</f>
        <v>938</v>
      </c>
      <c r="BG60" s="402">
        <f t="shared" ref="BG60" si="75">BF60-BF59</f>
        <v>51</v>
      </c>
      <c r="BH60" s="631">
        <f t="shared" ref="BH60" si="76">BE60/BF60</f>
        <v>191.81663113006397</v>
      </c>
      <c r="BI60" s="60">
        <f t="shared" ref="BI60" si="77">BE60-BE59</f>
        <v>10200</v>
      </c>
      <c r="BJ60" s="60">
        <f t="shared" si="56"/>
        <v>179924</v>
      </c>
      <c r="BK60" s="60">
        <f t="shared" si="57"/>
        <v>0</v>
      </c>
      <c r="BL60" s="67">
        <f t="shared" si="58"/>
        <v>938</v>
      </c>
      <c r="BM60" s="43">
        <f t="shared" si="59"/>
        <v>0</v>
      </c>
      <c r="BN60" s="60">
        <f t="shared" si="60"/>
        <v>179924</v>
      </c>
      <c r="BO60" s="60">
        <f t="shared" si="61"/>
        <v>0</v>
      </c>
      <c r="BP60" s="67">
        <f t="shared" si="62"/>
        <v>938</v>
      </c>
      <c r="BQ60" s="43">
        <f t="shared" si="63"/>
        <v>0</v>
      </c>
      <c r="BR60" s="110"/>
      <c r="BS60" s="110"/>
      <c r="BT60" s="110"/>
      <c r="BU60" s="110"/>
      <c r="BV60" s="110"/>
      <c r="BW60" s="110"/>
      <c r="BX60" s="110"/>
      <c r="BY60" s="110"/>
      <c r="BZ60" s="110"/>
      <c r="CA60" s="110"/>
      <c r="CB60" s="110"/>
      <c r="CC60" s="110"/>
      <c r="CD60" s="110"/>
      <c r="CE60" s="110"/>
      <c r="CF60" s="110"/>
      <c r="CG60" s="110"/>
      <c r="CH60" s="110"/>
      <c r="CI60" s="110"/>
      <c r="CJ60" s="110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/>
      <c r="CW60" s="110"/>
      <c r="CX60" s="110"/>
    </row>
    <row r="61" spans="1:102" s="64" customFormat="1" x14ac:dyDescent="0.3">
      <c r="A61" s="103"/>
      <c r="B61" s="110"/>
      <c r="C61" s="156"/>
      <c r="D61" s="110"/>
      <c r="E61" s="156"/>
      <c r="F61" s="156"/>
      <c r="G61" s="680">
        <v>5</v>
      </c>
      <c r="H61" s="681">
        <f t="shared" si="18"/>
        <v>46194.76666666667</v>
      </c>
      <c r="I61" s="218">
        <f t="shared" si="32"/>
        <v>186522</v>
      </c>
      <c r="J61" s="209">
        <f t="shared" si="33"/>
        <v>186522</v>
      </c>
      <c r="K61" s="210">
        <f t="shared" si="34"/>
        <v>186522</v>
      </c>
      <c r="L61" s="218">
        <f t="shared" si="35"/>
        <v>186522</v>
      </c>
      <c r="M61" s="219">
        <f t="shared" si="36"/>
        <v>186522</v>
      </c>
      <c r="N61" s="399"/>
      <c r="O61" s="209">
        <v>131274</v>
      </c>
      <c r="P61" s="209">
        <v>166947</v>
      </c>
      <c r="Q61" s="209">
        <v>141611</v>
      </c>
      <c r="R61" s="209">
        <v>178763.98</v>
      </c>
      <c r="S61" s="399">
        <v>132002</v>
      </c>
      <c r="T61" s="209">
        <v>197894</v>
      </c>
      <c r="U61" s="209">
        <v>161100</v>
      </c>
      <c r="V61" s="519">
        <v>44966</v>
      </c>
      <c r="W61" s="209">
        <v>75551</v>
      </c>
      <c r="X61" s="209">
        <v>63115</v>
      </c>
      <c r="Y61" s="210">
        <v>120368</v>
      </c>
      <c r="Z61" s="396">
        <v>50763</v>
      </c>
      <c r="AA61" s="397">
        <v>44358</v>
      </c>
      <c r="AB61" s="397">
        <v>15015</v>
      </c>
      <c r="AC61" s="433"/>
      <c r="AD61" s="396">
        <v>21886</v>
      </c>
      <c r="AE61" s="397">
        <v>32621</v>
      </c>
      <c r="AF61" s="397"/>
      <c r="AG61" s="398">
        <v>300513.95</v>
      </c>
      <c r="AH61" s="41"/>
      <c r="AI61" s="41"/>
      <c r="AJ61" s="428"/>
      <c r="AK61" s="68">
        <v>5</v>
      </c>
      <c r="AL61" s="747">
        <f t="shared" si="24"/>
        <v>1</v>
      </c>
      <c r="AM61" s="401">
        <f t="shared" si="37"/>
        <v>46194</v>
      </c>
      <c r="AN61" s="55">
        <v>0.76666666666666672</v>
      </c>
      <c r="AO61" s="56">
        <f t="shared" si="25"/>
        <v>46194.76666666667</v>
      </c>
      <c r="AP61" s="57">
        <f t="shared" si="26"/>
        <v>5.0166666666700621</v>
      </c>
      <c r="AQ61" s="57">
        <f t="shared" si="38"/>
        <v>1.0125000000043656</v>
      </c>
      <c r="AR61" s="65">
        <v>186522</v>
      </c>
      <c r="AS61" s="66">
        <v>971</v>
      </c>
      <c r="AT61" s="466">
        <f t="shared" si="27"/>
        <v>33</v>
      </c>
      <c r="AU61" s="60">
        <f t="shared" si="66"/>
        <v>6598</v>
      </c>
      <c r="AV61" s="60">
        <f t="shared" si="28"/>
        <v>37180.465116253901</v>
      </c>
      <c r="AW61" s="61">
        <f t="shared" si="29"/>
        <v>192.09268795056641</v>
      </c>
      <c r="AX61" s="62">
        <f t="shared" si="40"/>
        <v>199.93939393939394</v>
      </c>
      <c r="AY61" s="62">
        <f>SUM(AU57:AU61)/SUM(AT57:AT61)</f>
        <v>192.09268795056641</v>
      </c>
      <c r="AZ61" s="65">
        <f t="shared" ref="AZ61" si="78">AR61</f>
        <v>186522</v>
      </c>
      <c r="BA61" s="66">
        <f t="shared" ref="BA61" si="79">AS61</f>
        <v>971</v>
      </c>
      <c r="BB61" s="402">
        <f t="shared" ref="BB61" si="80">BA61-BA60</f>
        <v>33</v>
      </c>
      <c r="BC61" s="631">
        <f t="shared" ref="BC61" si="81">AZ61/BA61</f>
        <v>192.09268795056641</v>
      </c>
      <c r="BD61" s="60">
        <f t="shared" ref="BD61" si="82">AZ61-AZ60</f>
        <v>6598</v>
      </c>
      <c r="BE61" s="65">
        <f t="shared" ref="BE61" si="83">AR61</f>
        <v>186522</v>
      </c>
      <c r="BF61" s="66">
        <f t="shared" ref="BF61" si="84">AS61</f>
        <v>971</v>
      </c>
      <c r="BG61" s="402">
        <f t="shared" ref="BG61" si="85">BF61-BF60</f>
        <v>33</v>
      </c>
      <c r="BH61" s="631">
        <f t="shared" ref="BH61" si="86">BE61/BF61</f>
        <v>192.09268795056641</v>
      </c>
      <c r="BI61" s="60">
        <f t="shared" si="48"/>
        <v>6598</v>
      </c>
      <c r="BJ61" s="60">
        <f t="shared" ref="BJ61" si="87">AR61</f>
        <v>186522</v>
      </c>
      <c r="BK61" s="60">
        <f t="shared" ref="BK61" si="88">AR61-BJ61</f>
        <v>0</v>
      </c>
      <c r="BL61" s="67">
        <f t="shared" ref="BL61" si="89">AS61</f>
        <v>971</v>
      </c>
      <c r="BM61" s="43">
        <f t="shared" ref="BM61" si="90">AS61-BL61</f>
        <v>0</v>
      </c>
      <c r="BN61" s="60">
        <f t="shared" ref="BN61" si="91">BJ61</f>
        <v>186522</v>
      </c>
      <c r="BO61" s="60">
        <f t="shared" ref="BO61" si="92">AR61-BN61</f>
        <v>0</v>
      </c>
      <c r="BP61" s="67">
        <f t="shared" ref="BP61" si="93">BL61</f>
        <v>971</v>
      </c>
      <c r="BQ61" s="43">
        <f t="shared" ref="BQ61" si="94">AS61-BP61</f>
        <v>0</v>
      </c>
      <c r="BR61" s="110"/>
      <c r="BS61" s="110"/>
      <c r="BT61" s="110"/>
      <c r="BU61" s="110"/>
      <c r="BV61" s="110"/>
      <c r="BW61" s="110"/>
      <c r="BX61" s="110"/>
      <c r="BY61" s="110"/>
      <c r="BZ61" s="110"/>
      <c r="CA61" s="110"/>
      <c r="CB61" s="110"/>
      <c r="CC61" s="110"/>
      <c r="CD61" s="110"/>
      <c r="CE61" s="110"/>
      <c r="CF61" s="110"/>
      <c r="CG61" s="110"/>
      <c r="CH61" s="110"/>
      <c r="CI61" s="110"/>
      <c r="CJ61" s="110"/>
      <c r="CK61" s="110"/>
      <c r="CL61" s="110"/>
      <c r="CM61" s="110"/>
      <c r="CN61" s="110"/>
      <c r="CO61" s="110"/>
      <c r="CP61" s="110"/>
      <c r="CQ61" s="110"/>
      <c r="CR61" s="110"/>
      <c r="CS61" s="110"/>
      <c r="CT61" s="110"/>
      <c r="CU61" s="110"/>
      <c r="CV61" s="110"/>
      <c r="CW61" s="110"/>
      <c r="CX61" s="110"/>
    </row>
    <row r="62" spans="1:102" s="64" customFormat="1" ht="15.75" thickBot="1" x14ac:dyDescent="0.35">
      <c r="A62" s="103"/>
      <c r="B62" s="110"/>
      <c r="C62" s="156"/>
      <c r="D62" s="110"/>
      <c r="E62" s="156"/>
      <c r="F62" s="156"/>
      <c r="G62" s="680">
        <v>6</v>
      </c>
      <c r="H62" s="681">
        <f t="shared" si="18"/>
        <v>46195.84652777778</v>
      </c>
      <c r="I62" s="218">
        <f t="shared" si="32"/>
        <v>194535</v>
      </c>
      <c r="J62" s="209">
        <f t="shared" si="33"/>
        <v>194535</v>
      </c>
      <c r="K62" s="210">
        <f t="shared" si="34"/>
        <v>194535</v>
      </c>
      <c r="L62" s="218">
        <f t="shared" si="35"/>
        <v>195188.22577170448</v>
      </c>
      <c r="M62" s="219">
        <f t="shared" si="36"/>
        <v>202851.47050227597</v>
      </c>
      <c r="N62" s="399"/>
      <c r="O62" s="209">
        <v>135593</v>
      </c>
      <c r="P62" s="209">
        <v>175946</v>
      </c>
      <c r="Q62" s="209">
        <v>150726</v>
      </c>
      <c r="R62" s="209">
        <v>184821.71</v>
      </c>
      <c r="S62" s="399">
        <v>150957</v>
      </c>
      <c r="T62" s="209">
        <v>207444</v>
      </c>
      <c r="U62" s="209">
        <v>170645</v>
      </c>
      <c r="V62" s="519">
        <v>46520</v>
      </c>
      <c r="W62" s="209">
        <v>85403</v>
      </c>
      <c r="X62" s="209">
        <v>65148</v>
      </c>
      <c r="Y62" s="210">
        <v>123198</v>
      </c>
      <c r="Z62" s="396">
        <v>53829</v>
      </c>
      <c r="AA62" s="397">
        <v>45558</v>
      </c>
      <c r="AB62" s="397">
        <v>16237</v>
      </c>
      <c r="AC62" s="433"/>
      <c r="AD62" s="396">
        <v>22571</v>
      </c>
      <c r="AE62" s="397">
        <v>37481</v>
      </c>
      <c r="AF62" s="397"/>
      <c r="AG62" s="398">
        <v>317794.57</v>
      </c>
      <c r="AH62" s="41"/>
      <c r="AI62" s="41"/>
      <c r="AJ62" s="428"/>
      <c r="AK62" s="68">
        <v>6</v>
      </c>
      <c r="AL62" s="747">
        <f t="shared" si="24"/>
        <v>2</v>
      </c>
      <c r="AM62" s="401">
        <f t="shared" si="37"/>
        <v>46195</v>
      </c>
      <c r="AN62" s="55">
        <v>0.84652777777777777</v>
      </c>
      <c r="AO62" s="56">
        <f t="shared" si="25"/>
        <v>46195.84652777778</v>
      </c>
      <c r="AP62" s="57">
        <f t="shared" si="26"/>
        <v>6.0965277777795563</v>
      </c>
      <c r="AQ62" s="57">
        <f t="shared" si="38"/>
        <v>1.0798611111094942</v>
      </c>
      <c r="AR62" s="65">
        <v>194535</v>
      </c>
      <c r="AS62" s="66">
        <v>1014</v>
      </c>
      <c r="AT62" s="466">
        <f t="shared" si="27"/>
        <v>43</v>
      </c>
      <c r="AU62" s="60">
        <f t="shared" si="39"/>
        <v>8013</v>
      </c>
      <c r="AV62" s="60">
        <f t="shared" si="28"/>
        <v>31909.146827647601</v>
      </c>
      <c r="AW62" s="61">
        <f t="shared" si="29"/>
        <v>191.8491124260355</v>
      </c>
      <c r="AX62" s="62">
        <f t="shared" si="40"/>
        <v>186.34883720930233</v>
      </c>
      <c r="AY62" s="62">
        <f t="shared" ref="AY62:AY64" si="95">SUM(AU58:AU62)/SUM(AT58:AT62)</f>
        <v>199.19931271477662</v>
      </c>
      <c r="AZ62" s="65">
        <f t="shared" ref="AZ62:AZ63" si="96">AR62</f>
        <v>194535</v>
      </c>
      <c r="BA62" s="66">
        <f t="shared" ref="BA62:BA63" si="97">AS62</f>
        <v>1014</v>
      </c>
      <c r="BB62" s="628">
        <f t="shared" si="30"/>
        <v>43</v>
      </c>
      <c r="BC62" s="631">
        <f t="shared" si="43"/>
        <v>191.8491124260355</v>
      </c>
      <c r="BD62" s="60">
        <f t="shared" si="44"/>
        <v>8013</v>
      </c>
      <c r="BE62" s="65">
        <f t="shared" ref="BE62:BE63" si="98">AR62</f>
        <v>194535</v>
      </c>
      <c r="BF62" s="66">
        <f t="shared" ref="BF62:BF63" si="99">AS62</f>
        <v>1014</v>
      </c>
      <c r="BG62" s="628">
        <f t="shared" si="31"/>
        <v>43</v>
      </c>
      <c r="BH62" s="631">
        <f t="shared" si="47"/>
        <v>191.8491124260355</v>
      </c>
      <c r="BI62" s="60">
        <f t="shared" si="48"/>
        <v>8013</v>
      </c>
      <c r="BJ62" s="828">
        <f>BJ61+(BI$79-$BJ$61)*Vergleich!AC88</f>
        <v>195188.22577170448</v>
      </c>
      <c r="BK62" s="60">
        <f t="shared" ref="BK62" si="100">AR61-BJ61</f>
        <v>0</v>
      </c>
      <c r="BL62" s="829">
        <f>ROUND(BL61+(BK$79-$BL$61)*Vergleich!AD88,)</f>
        <v>1007</v>
      </c>
      <c r="BM62" s="67">
        <f t="shared" ref="BM62" si="101">AS61-BL61</f>
        <v>0</v>
      </c>
      <c r="BN62" s="828">
        <f>BN61+(BM$79-$BN$61)*Vergleich!N88</f>
        <v>202851.47050227597</v>
      </c>
      <c r="BO62" s="60">
        <f t="shared" ref="BO62" si="102">AR61-BN61</f>
        <v>0</v>
      </c>
      <c r="BP62" s="829">
        <f>ROUND(BP61+(BO$79-$BP$61)*Vergleich!O88,)</f>
        <v>1086</v>
      </c>
      <c r="BQ62" s="43">
        <f t="shared" si="63"/>
        <v>-72</v>
      </c>
      <c r="BR62" s="110"/>
      <c r="BS62" s="110"/>
      <c r="BT62" s="110"/>
      <c r="BU62" s="110"/>
      <c r="BV62" s="110"/>
      <c r="BW62" s="110"/>
      <c r="BX62" s="110"/>
      <c r="BY62" s="110"/>
      <c r="BZ62" s="110"/>
      <c r="CA62" s="110"/>
      <c r="CB62" s="110"/>
      <c r="CC62" s="110"/>
      <c r="CD62" s="110"/>
      <c r="CE62" s="110"/>
      <c r="CF62" s="110"/>
      <c r="CG62" s="110"/>
      <c r="CH62" s="110"/>
      <c r="CI62" s="110"/>
      <c r="CJ62" s="110"/>
      <c r="CK62" s="110"/>
      <c r="CL62" s="110"/>
      <c r="CM62" s="110"/>
      <c r="CN62" s="110"/>
      <c r="CO62" s="110"/>
      <c r="CP62" s="110"/>
      <c r="CQ62" s="110"/>
      <c r="CR62" s="110"/>
      <c r="CS62" s="110"/>
      <c r="CT62" s="110"/>
      <c r="CU62" s="110"/>
      <c r="CV62" s="110"/>
      <c r="CW62" s="110"/>
      <c r="CX62" s="110"/>
    </row>
    <row r="63" spans="1:102" s="64" customFormat="1" ht="15.75" thickBot="1" x14ac:dyDescent="0.35">
      <c r="A63" s="103"/>
      <c r="B63" s="110"/>
      <c r="C63" s="156"/>
      <c r="D63" s="110"/>
      <c r="E63" s="156"/>
      <c r="F63" s="156"/>
      <c r="G63" s="680">
        <v>7</v>
      </c>
      <c r="H63" s="681">
        <f t="shared" si="18"/>
        <v>46196.77847222222</v>
      </c>
      <c r="I63" s="218">
        <f t="shared" si="19"/>
        <v>199150</v>
      </c>
      <c r="J63" s="209">
        <f t="shared" si="20"/>
        <v>199150</v>
      </c>
      <c r="K63" s="210">
        <f t="shared" si="21"/>
        <v>199150</v>
      </c>
      <c r="L63" s="218">
        <f t="shared" si="22"/>
        <v>198663.22628572673</v>
      </c>
      <c r="M63" s="219">
        <f t="shared" si="23"/>
        <v>247102.48294928641</v>
      </c>
      <c r="N63" s="399"/>
      <c r="O63" s="209">
        <v>147297</v>
      </c>
      <c r="P63" s="209">
        <v>184883</v>
      </c>
      <c r="Q63" s="209">
        <v>157770</v>
      </c>
      <c r="R63" s="209">
        <v>192894.71</v>
      </c>
      <c r="S63" s="399">
        <v>164491</v>
      </c>
      <c r="T63" s="209">
        <v>215459</v>
      </c>
      <c r="U63" s="209">
        <v>177285</v>
      </c>
      <c r="V63" s="519">
        <v>48572</v>
      </c>
      <c r="W63" s="209">
        <v>94449</v>
      </c>
      <c r="X63" s="209">
        <v>69623</v>
      </c>
      <c r="Y63" s="210">
        <v>126713</v>
      </c>
      <c r="Z63" s="396">
        <v>55981</v>
      </c>
      <c r="AA63" s="397">
        <v>50019</v>
      </c>
      <c r="AB63" s="397">
        <v>16727</v>
      </c>
      <c r="AC63" s="211">
        <v>31356</v>
      </c>
      <c r="AD63" s="396">
        <v>24180</v>
      </c>
      <c r="AE63" s="397">
        <v>40223</v>
      </c>
      <c r="AF63" s="397"/>
      <c r="AG63" s="398">
        <v>329589.40000000002</v>
      </c>
      <c r="AH63" s="41"/>
      <c r="AI63" s="41"/>
      <c r="AJ63" s="428"/>
      <c r="AK63" s="68">
        <v>7</v>
      </c>
      <c r="AL63" s="830">
        <f t="shared" si="24"/>
        <v>3</v>
      </c>
      <c r="AM63" s="288">
        <f t="shared" si="37"/>
        <v>46196</v>
      </c>
      <c r="AN63" s="55">
        <v>0.77847222222222223</v>
      </c>
      <c r="AO63" s="56">
        <f t="shared" si="25"/>
        <v>46196.77847222222</v>
      </c>
      <c r="AP63" s="57">
        <f t="shared" si="26"/>
        <v>7.0284722222204437</v>
      </c>
      <c r="AQ63" s="57">
        <f t="shared" si="38"/>
        <v>0.93194444444088731</v>
      </c>
      <c r="AR63" s="65">
        <v>199150</v>
      </c>
      <c r="AS63" s="66">
        <v>1040</v>
      </c>
      <c r="AT63" s="466">
        <f t="shared" si="27"/>
        <v>26</v>
      </c>
      <c r="AU63" s="60">
        <f t="shared" si="39"/>
        <v>4615</v>
      </c>
      <c r="AV63" s="60">
        <f t="shared" si="28"/>
        <v>28334.749530685956</v>
      </c>
      <c r="AW63" s="61">
        <f t="shared" si="29"/>
        <v>191.49038461538461</v>
      </c>
      <c r="AX63" s="62">
        <f t="shared" si="40"/>
        <v>177.5</v>
      </c>
      <c r="AY63" s="62">
        <f t="shared" si="95"/>
        <v>204.34741784037558</v>
      </c>
      <c r="AZ63" s="65">
        <f t="shared" si="96"/>
        <v>199150</v>
      </c>
      <c r="BA63" s="66">
        <f t="shared" si="97"/>
        <v>1040</v>
      </c>
      <c r="BB63" s="628">
        <f t="shared" ref="BB63" si="103">BA63-BA62</f>
        <v>26</v>
      </c>
      <c r="BC63" s="631">
        <f t="shared" ref="BC63" si="104">AZ63/BA63</f>
        <v>191.49038461538461</v>
      </c>
      <c r="BD63" s="60">
        <f t="shared" si="44"/>
        <v>4615</v>
      </c>
      <c r="BE63" s="65">
        <f t="shared" si="98"/>
        <v>199150</v>
      </c>
      <c r="BF63" s="66">
        <f t="shared" si="99"/>
        <v>1040</v>
      </c>
      <c r="BG63" s="628">
        <f t="shared" ref="BG63" si="105">BF63-BF62</f>
        <v>26</v>
      </c>
      <c r="BH63" s="631">
        <f t="shared" ref="BH63" si="106">BE63/BF63</f>
        <v>191.49038461538461</v>
      </c>
      <c r="BI63" s="60">
        <f t="shared" si="48"/>
        <v>4615</v>
      </c>
      <c r="BJ63" s="828">
        <f>BJ62+(BI$79-$BJ$61)*Vergleich!AC89</f>
        <v>198663.22628572673</v>
      </c>
      <c r="BK63" s="60">
        <f t="shared" ref="BK63:BK77" si="107">AR62-BJ62</f>
        <v>-653.22577170448494</v>
      </c>
      <c r="BL63" s="829">
        <f>ROUND(BL62+(BK$79-$BL$61)*Vergleich!AD89,)</f>
        <v>1027</v>
      </c>
      <c r="BM63" s="67">
        <f t="shared" ref="BM63:BM77" si="108">AS62-BL62</f>
        <v>7</v>
      </c>
      <c r="BN63" s="828">
        <f>BN62+(BM$79-$BN$61)*Vergleich!N89</f>
        <v>247102.48294928641</v>
      </c>
      <c r="BO63" s="60">
        <f t="shared" ref="BO63:BO77" si="109">AR62-BN62</f>
        <v>-8316.4705022759736</v>
      </c>
      <c r="BP63" s="829">
        <f>ROUND(BP62+(BO$79-$BP$61)*Vergleich!O89,)</f>
        <v>1385</v>
      </c>
      <c r="BQ63" s="43">
        <f t="shared" ref="BQ63:BQ73" si="110">AS63-BP63</f>
        <v>-345</v>
      </c>
      <c r="BR63" s="110"/>
      <c r="BS63" s="110"/>
      <c r="BT63" s="110"/>
      <c r="BU63" s="110"/>
      <c r="BV63" s="110"/>
      <c r="BW63" s="110"/>
      <c r="BX63" s="110"/>
      <c r="BY63" s="110"/>
      <c r="BZ63" s="110"/>
      <c r="CA63" s="110"/>
      <c r="CB63" s="110"/>
      <c r="CC63" s="110"/>
      <c r="CD63" s="110"/>
      <c r="CE63" s="110"/>
      <c r="CF63" s="110"/>
      <c r="CG63" s="110"/>
      <c r="CH63" s="110"/>
      <c r="CI63" s="110"/>
      <c r="CJ63" s="110"/>
      <c r="CK63" s="110"/>
      <c r="CL63" s="110"/>
      <c r="CM63" s="110"/>
      <c r="CN63" s="110"/>
      <c r="CO63" s="110"/>
      <c r="CP63" s="110"/>
      <c r="CQ63" s="110"/>
      <c r="CR63" s="110"/>
      <c r="CS63" s="110"/>
      <c r="CT63" s="110"/>
      <c r="CU63" s="110"/>
      <c r="CV63" s="110"/>
      <c r="CW63" s="110"/>
      <c r="CX63" s="110"/>
    </row>
    <row r="64" spans="1:102" s="64" customFormat="1" x14ac:dyDescent="0.3">
      <c r="A64" s="103"/>
      <c r="B64" s="110"/>
      <c r="C64" s="156"/>
      <c r="D64" s="110"/>
      <c r="E64" s="156"/>
      <c r="F64" s="156"/>
      <c r="G64" s="680">
        <v>8</v>
      </c>
      <c r="H64" s="681">
        <f t="shared" si="18"/>
        <v>46197.756944444445</v>
      </c>
      <c r="I64" s="218">
        <f t="shared" ref="I64" si="111">AR64</f>
        <v>205474</v>
      </c>
      <c r="J64" s="209">
        <f t="shared" ref="J64" si="112">AZ64</f>
        <v>205474</v>
      </c>
      <c r="K64" s="210">
        <f t="shared" ref="K64" si="113">BE64</f>
        <v>205474</v>
      </c>
      <c r="L64" s="218">
        <f t="shared" ref="L64" si="114">BJ64</f>
        <v>205365.01299134109</v>
      </c>
      <c r="M64" s="219">
        <f t="shared" ref="M64" si="115">BN64</f>
        <v>273027.73861821584</v>
      </c>
      <c r="N64" s="399"/>
      <c r="O64" s="209">
        <v>154154</v>
      </c>
      <c r="P64" s="209">
        <v>193287</v>
      </c>
      <c r="Q64" s="209">
        <v>165131</v>
      </c>
      <c r="R64" s="209">
        <v>201017.49</v>
      </c>
      <c r="S64" s="399">
        <v>182858</v>
      </c>
      <c r="T64" s="209">
        <v>226250</v>
      </c>
      <c r="U64" s="209">
        <v>188552</v>
      </c>
      <c r="V64" s="519">
        <v>50335</v>
      </c>
      <c r="W64" s="209">
        <v>103073</v>
      </c>
      <c r="X64" s="209">
        <v>72783</v>
      </c>
      <c r="Y64" s="210">
        <v>130050</v>
      </c>
      <c r="Z64" s="396">
        <v>58795</v>
      </c>
      <c r="AA64" s="397">
        <v>54482</v>
      </c>
      <c r="AB64" s="397">
        <v>17672</v>
      </c>
      <c r="AC64" s="211">
        <v>33362</v>
      </c>
      <c r="AD64" s="396">
        <v>26679</v>
      </c>
      <c r="AE64" s="397">
        <v>43766</v>
      </c>
      <c r="AF64" s="397"/>
      <c r="AG64" s="398">
        <v>341743.05</v>
      </c>
      <c r="AH64" s="41"/>
      <c r="AI64" s="41"/>
      <c r="AJ64" s="428"/>
      <c r="AK64" s="68">
        <v>8</v>
      </c>
      <c r="AL64" s="747">
        <f t="shared" si="24"/>
        <v>4</v>
      </c>
      <c r="AM64" s="401">
        <f t="shared" si="37"/>
        <v>46197</v>
      </c>
      <c r="AN64" s="55">
        <v>0.75694444444444442</v>
      </c>
      <c r="AO64" s="56">
        <f t="shared" si="25"/>
        <v>46197.756944444445</v>
      </c>
      <c r="AP64" s="57">
        <f t="shared" si="26"/>
        <v>8.0069444444452529</v>
      </c>
      <c r="AQ64" s="57">
        <f t="shared" si="38"/>
        <v>0.97847222222480923</v>
      </c>
      <c r="AR64" s="65">
        <v>205474</v>
      </c>
      <c r="AS64" s="66">
        <v>1073</v>
      </c>
      <c r="AT64" s="466">
        <f t="shared" ref="AT64:AT65" si="116">AS64-AS63</f>
        <v>33</v>
      </c>
      <c r="AU64" s="60">
        <f t="shared" si="39"/>
        <v>6324</v>
      </c>
      <c r="AV64" s="60">
        <f t="shared" si="28"/>
        <v>25661.973980916751</v>
      </c>
      <c r="AW64" s="61">
        <f t="shared" si="29"/>
        <v>191.49487418452935</v>
      </c>
      <c r="AX64" s="62">
        <f t="shared" si="40"/>
        <v>191.63636363636363</v>
      </c>
      <c r="AY64" s="62">
        <f t="shared" si="95"/>
        <v>192.20430107526883</v>
      </c>
      <c r="AZ64" s="65">
        <f t="shared" ref="AZ64" si="117">AR64</f>
        <v>205474</v>
      </c>
      <c r="BA64" s="66">
        <f t="shared" ref="BA64" si="118">AS64</f>
        <v>1073</v>
      </c>
      <c r="BB64" s="628">
        <f t="shared" ref="BB64" si="119">BA64-BA63</f>
        <v>33</v>
      </c>
      <c r="BC64" s="631">
        <f t="shared" ref="BC64" si="120">AZ64/BA64</f>
        <v>191.49487418452935</v>
      </c>
      <c r="BD64" s="60">
        <f t="shared" ref="BD64" si="121">AZ64-AZ63</f>
        <v>6324</v>
      </c>
      <c r="BE64" s="65">
        <f t="shared" ref="BE64" si="122">AR64</f>
        <v>205474</v>
      </c>
      <c r="BF64" s="66">
        <f t="shared" ref="BF64" si="123">AS64</f>
        <v>1073</v>
      </c>
      <c r="BG64" s="628">
        <f t="shared" si="31"/>
        <v>33</v>
      </c>
      <c r="BH64" s="631">
        <f t="shared" si="47"/>
        <v>191.49487418452935</v>
      </c>
      <c r="BI64" s="60">
        <f t="shared" si="48"/>
        <v>6324</v>
      </c>
      <c r="BJ64" s="828">
        <f>BJ63+(BI$79-$BJ$61)*Vergleich!AC90</f>
        <v>205365.01299134109</v>
      </c>
      <c r="BK64" s="60">
        <f t="shared" si="107"/>
        <v>486.7737142732658</v>
      </c>
      <c r="BL64" s="829">
        <f>ROUND(BL63+(BK$79-$BL$61)*Vergleich!AD90,)</f>
        <v>1063</v>
      </c>
      <c r="BM64" s="67">
        <f t="shared" si="108"/>
        <v>13</v>
      </c>
      <c r="BN64" s="828">
        <f>BN63+(BM$79-$BN$61)*Vergleich!N90</f>
        <v>273027.73861821584</v>
      </c>
      <c r="BO64" s="60">
        <f t="shared" si="109"/>
        <v>-47952.482949286408</v>
      </c>
      <c r="BP64" s="829">
        <f>ROUND(BP63+(BO$79-$BP$61)*Vergleich!O90,)</f>
        <v>1517</v>
      </c>
      <c r="BQ64" s="43">
        <f t="shared" si="110"/>
        <v>-444</v>
      </c>
      <c r="BR64" s="110"/>
      <c r="BS64" s="110"/>
      <c r="BT64" s="110"/>
      <c r="BU64" s="110"/>
      <c r="BV64" s="110"/>
      <c r="BW64" s="110"/>
      <c r="BX64" s="110"/>
      <c r="BY64" s="110"/>
      <c r="BZ64" s="110"/>
      <c r="CA64" s="110"/>
      <c r="CB64" s="110"/>
      <c r="CC64" s="110"/>
      <c r="CD64" s="110"/>
      <c r="CE64" s="110"/>
      <c r="CF64" s="110"/>
      <c r="CG64" s="110"/>
      <c r="CH64" s="110"/>
      <c r="CI64" s="110"/>
      <c r="CJ64" s="110"/>
      <c r="CK64" s="110"/>
      <c r="CL64" s="110"/>
      <c r="CM64" s="110"/>
      <c r="CN64" s="110"/>
      <c r="CO64" s="110"/>
      <c r="CP64" s="110"/>
      <c r="CQ64" s="110"/>
      <c r="CR64" s="110"/>
      <c r="CS64" s="110"/>
      <c r="CT64" s="110"/>
      <c r="CU64" s="110"/>
      <c r="CV64" s="110"/>
      <c r="CW64" s="110"/>
      <c r="CX64" s="110"/>
    </row>
    <row r="65" spans="1:102" s="64" customFormat="1" x14ac:dyDescent="0.3">
      <c r="A65" s="103"/>
      <c r="B65" s="110"/>
      <c r="C65" s="156"/>
      <c r="D65" s="110"/>
      <c r="E65" s="156"/>
      <c r="F65" s="156"/>
      <c r="G65" s="680">
        <v>9</v>
      </c>
      <c r="H65" s="681">
        <f t="shared" si="18"/>
        <v>46198.770138888889</v>
      </c>
      <c r="I65" s="218">
        <f t="shared" si="19"/>
        <v>215990</v>
      </c>
      <c r="J65" s="209">
        <f t="shared" si="20"/>
        <v>215990</v>
      </c>
      <c r="K65" s="210">
        <f t="shared" si="21"/>
        <v>215990</v>
      </c>
      <c r="L65" s="218">
        <f t="shared" si="22"/>
        <v>207563.48270429394</v>
      </c>
      <c r="M65" s="219">
        <f t="shared" si="23"/>
        <v>289996.17196255823</v>
      </c>
      <c r="N65" s="399"/>
      <c r="O65" s="209">
        <v>158642</v>
      </c>
      <c r="P65" s="209">
        <v>202015</v>
      </c>
      <c r="Q65" s="209">
        <v>173440</v>
      </c>
      <c r="R65" s="209">
        <v>206116.1</v>
      </c>
      <c r="S65" s="399">
        <v>195000</v>
      </c>
      <c r="T65" s="209">
        <v>232733</v>
      </c>
      <c r="U65" s="209">
        <v>199225</v>
      </c>
      <c r="V65" s="519">
        <v>51635</v>
      </c>
      <c r="W65" s="209">
        <v>113149</v>
      </c>
      <c r="X65" s="209">
        <v>76597</v>
      </c>
      <c r="Y65" s="210">
        <v>133215</v>
      </c>
      <c r="Z65" s="396">
        <v>63300</v>
      </c>
      <c r="AA65" s="397">
        <v>60464</v>
      </c>
      <c r="AB65" s="397">
        <v>17982</v>
      </c>
      <c r="AC65" s="211">
        <v>35984</v>
      </c>
      <c r="AD65" s="396">
        <v>27868</v>
      </c>
      <c r="AE65" s="397">
        <v>45971</v>
      </c>
      <c r="AF65" s="397"/>
      <c r="AG65" s="398">
        <v>350397.33</v>
      </c>
      <c r="AH65" s="41"/>
      <c r="AI65" s="41"/>
      <c r="AJ65" s="428"/>
      <c r="AK65" s="68">
        <v>9</v>
      </c>
      <c r="AL65" s="747">
        <f t="shared" si="24"/>
        <v>5</v>
      </c>
      <c r="AM65" s="401">
        <f t="shared" si="37"/>
        <v>46198</v>
      </c>
      <c r="AN65" s="55">
        <v>0.77013888888888893</v>
      </c>
      <c r="AO65" s="56">
        <f t="shared" si="25"/>
        <v>46198.770138888889</v>
      </c>
      <c r="AP65" s="57">
        <f t="shared" si="26"/>
        <v>9.0201388888890506</v>
      </c>
      <c r="AQ65" s="57">
        <f t="shared" si="38"/>
        <v>1.0131944444437977</v>
      </c>
      <c r="AR65" s="65">
        <v>215990</v>
      </c>
      <c r="AS65" s="66">
        <v>1138</v>
      </c>
      <c r="AT65" s="466">
        <f t="shared" si="116"/>
        <v>65</v>
      </c>
      <c r="AU65" s="60">
        <f t="shared" si="39"/>
        <v>10516</v>
      </c>
      <c r="AV65" s="60">
        <f t="shared" si="28"/>
        <v>23945.307567941676</v>
      </c>
      <c r="AW65" s="61">
        <f t="shared" si="29"/>
        <v>189.79789103690686</v>
      </c>
      <c r="AX65" s="62">
        <f t="shared" si="40"/>
        <v>161.78461538461539</v>
      </c>
      <c r="AY65" s="62">
        <f t="shared" ref="AY65:AY77" si="124">SUM(AU61:AU65)/SUM(AT61:AT65)</f>
        <v>180.33</v>
      </c>
      <c r="AZ65" s="65">
        <f t="shared" ref="AZ65:AZ66" si="125">AR65</f>
        <v>215990</v>
      </c>
      <c r="BA65" s="66">
        <f t="shared" ref="BA65:BA66" si="126">AS65</f>
        <v>1138</v>
      </c>
      <c r="BB65" s="628">
        <f t="shared" ref="BB65:BB66" si="127">BA65-BA64</f>
        <v>65</v>
      </c>
      <c r="BC65" s="631">
        <f t="shared" ref="BC65:BC66" si="128">AZ65/BA65</f>
        <v>189.79789103690686</v>
      </c>
      <c r="BD65" s="60">
        <f t="shared" ref="BD65:BD66" si="129">AZ65-AZ64</f>
        <v>10516</v>
      </c>
      <c r="BE65" s="65">
        <f t="shared" ref="BE65:BE66" si="130">AR65</f>
        <v>215990</v>
      </c>
      <c r="BF65" s="66">
        <f t="shared" ref="BF65:BF66" si="131">AS65</f>
        <v>1138</v>
      </c>
      <c r="BG65" s="628">
        <f t="shared" ref="BG65:BG66" si="132">BF65-BF64</f>
        <v>65</v>
      </c>
      <c r="BH65" s="631">
        <f t="shared" ref="BH65:BH66" si="133">BE65/BF65</f>
        <v>189.79789103690686</v>
      </c>
      <c r="BI65" s="60">
        <f t="shared" si="48"/>
        <v>10516</v>
      </c>
      <c r="BJ65" s="828">
        <f>BJ64+(BI$79-$BJ$61)*Vergleich!AC91</f>
        <v>207563.48270429394</v>
      </c>
      <c r="BK65" s="60">
        <f t="shared" si="107"/>
        <v>108.98700865890714</v>
      </c>
      <c r="BL65" s="829">
        <f>ROUND(BL64+(BK$79-$BL$61)*Vergleich!AD91,)</f>
        <v>1083</v>
      </c>
      <c r="BM65" s="67">
        <f t="shared" si="108"/>
        <v>10</v>
      </c>
      <c r="BN65" s="828">
        <f>BN64+(BM$79-$BN$61)*Vergleich!N91</f>
        <v>289996.17196255823</v>
      </c>
      <c r="BO65" s="60">
        <f t="shared" si="109"/>
        <v>-67553.738618215837</v>
      </c>
      <c r="BP65" s="829">
        <f>ROUND(BP64+(BO$79-$BP$61)*Vergleich!O91,)</f>
        <v>1609</v>
      </c>
      <c r="BQ65" s="43">
        <f t="shared" si="110"/>
        <v>-471</v>
      </c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  <c r="CH65" s="110"/>
      <c r="CI65" s="110"/>
      <c r="CJ65" s="110"/>
      <c r="CK65" s="110"/>
      <c r="CL65" s="110"/>
      <c r="CM65" s="110"/>
      <c r="CN65" s="110"/>
      <c r="CO65" s="110"/>
      <c r="CP65" s="110"/>
      <c r="CQ65" s="110"/>
      <c r="CR65" s="110"/>
      <c r="CS65" s="110"/>
      <c r="CT65" s="110"/>
      <c r="CU65" s="110"/>
      <c r="CV65" s="110"/>
      <c r="CW65" s="110"/>
      <c r="CX65" s="110"/>
    </row>
    <row r="66" spans="1:102" s="64" customFormat="1" x14ac:dyDescent="0.3">
      <c r="A66" s="103"/>
      <c r="B66" s="110"/>
      <c r="C66" s="156"/>
      <c r="D66" s="110"/>
      <c r="E66" s="156"/>
      <c r="F66" s="156"/>
      <c r="G66" s="680">
        <v>10</v>
      </c>
      <c r="H66" s="681">
        <f t="shared" si="18"/>
        <v>46199.75</v>
      </c>
      <c r="I66" s="218">
        <f t="shared" si="19"/>
        <v>223980</v>
      </c>
      <c r="J66" s="209">
        <f t="shared" si="20"/>
        <v>223980</v>
      </c>
      <c r="K66" s="210">
        <f t="shared" si="21"/>
        <v>223980</v>
      </c>
      <c r="L66" s="218">
        <f t="shared" si="22"/>
        <v>211449.80980977189</v>
      </c>
      <c r="M66" s="219">
        <f t="shared" si="23"/>
        <v>307206.57940093748</v>
      </c>
      <c r="N66" s="399"/>
      <c r="O66" s="209">
        <v>163194</v>
      </c>
      <c r="P66" s="209">
        <v>209016</v>
      </c>
      <c r="Q66" s="209">
        <v>180535</v>
      </c>
      <c r="R66" s="209">
        <v>217511.64</v>
      </c>
      <c r="S66" s="399">
        <v>203877</v>
      </c>
      <c r="T66" s="209">
        <v>237361</v>
      </c>
      <c r="U66" s="209">
        <v>201255</v>
      </c>
      <c r="V66" s="519">
        <v>53657</v>
      </c>
      <c r="W66" s="209">
        <v>120667</v>
      </c>
      <c r="X66" s="209">
        <v>81327</v>
      </c>
      <c r="Y66" s="210">
        <v>136715</v>
      </c>
      <c r="Z66" s="396">
        <v>66650</v>
      </c>
      <c r="AA66" s="397">
        <v>62608</v>
      </c>
      <c r="AB66" s="397">
        <v>18530</v>
      </c>
      <c r="AC66" s="211">
        <v>37454</v>
      </c>
      <c r="AD66" s="396">
        <v>31587</v>
      </c>
      <c r="AE66" s="397">
        <v>48853</v>
      </c>
      <c r="AF66" s="397"/>
      <c r="AG66" s="398">
        <v>355633</v>
      </c>
      <c r="AH66" s="41"/>
      <c r="AI66" s="41"/>
      <c r="AJ66" s="428"/>
      <c r="AK66" s="68">
        <v>10</v>
      </c>
      <c r="AL66" s="747">
        <f t="shared" si="24"/>
        <v>6</v>
      </c>
      <c r="AM66" s="401">
        <f t="shared" si="37"/>
        <v>46199</v>
      </c>
      <c r="AN66" s="55">
        <v>0.75</v>
      </c>
      <c r="AO66" s="56">
        <f t="shared" si="25"/>
        <v>46199.75</v>
      </c>
      <c r="AP66" s="57">
        <f t="shared" si="26"/>
        <v>10</v>
      </c>
      <c r="AQ66" s="57">
        <f t="shared" si="38"/>
        <v>0.97986111111094942</v>
      </c>
      <c r="AR66" s="65">
        <v>223980</v>
      </c>
      <c r="AS66" s="66">
        <v>1182</v>
      </c>
      <c r="AT66" s="466">
        <f t="shared" ref="AT66" si="134">AS66-AS65</f>
        <v>44</v>
      </c>
      <c r="AU66" s="60">
        <f t="shared" si="39"/>
        <v>7990</v>
      </c>
      <c r="AV66" s="60">
        <f t="shared" si="28"/>
        <v>22398</v>
      </c>
      <c r="AW66" s="61">
        <f t="shared" si="29"/>
        <v>189.49238578680203</v>
      </c>
      <c r="AX66" s="62">
        <f t="shared" si="40"/>
        <v>181.59090909090909</v>
      </c>
      <c r="AY66" s="62">
        <f t="shared" si="124"/>
        <v>177.52606635071089</v>
      </c>
      <c r="AZ66" s="65">
        <f t="shared" si="125"/>
        <v>223980</v>
      </c>
      <c r="BA66" s="66">
        <f t="shared" si="126"/>
        <v>1182</v>
      </c>
      <c r="BB66" s="628">
        <f t="shared" si="127"/>
        <v>44</v>
      </c>
      <c r="BC66" s="631">
        <f t="shared" si="128"/>
        <v>189.49238578680203</v>
      </c>
      <c r="BD66" s="60">
        <f t="shared" si="129"/>
        <v>7990</v>
      </c>
      <c r="BE66" s="65">
        <f t="shared" si="130"/>
        <v>223980</v>
      </c>
      <c r="BF66" s="66">
        <f t="shared" si="131"/>
        <v>1182</v>
      </c>
      <c r="BG66" s="628">
        <f t="shared" si="132"/>
        <v>44</v>
      </c>
      <c r="BH66" s="631">
        <f t="shared" si="133"/>
        <v>189.49238578680203</v>
      </c>
      <c r="BI66" s="60">
        <f t="shared" si="48"/>
        <v>7990</v>
      </c>
      <c r="BJ66" s="828">
        <f>BJ65+(BI$79-$BJ$61)*Vergleich!AC92</f>
        <v>211449.80980977189</v>
      </c>
      <c r="BK66" s="60">
        <f t="shared" si="107"/>
        <v>8426.5172957060568</v>
      </c>
      <c r="BL66" s="829">
        <f>ROUND(BL65+(BK$79-$BL$61)*Vergleich!AD92,)</f>
        <v>1109</v>
      </c>
      <c r="BM66" s="67">
        <f t="shared" si="108"/>
        <v>55</v>
      </c>
      <c r="BN66" s="828">
        <f>BN65+(BM$79-$BN$61)*Vergleich!N92</f>
        <v>307206.57940093748</v>
      </c>
      <c r="BO66" s="60">
        <f t="shared" si="109"/>
        <v>-74006.171962558234</v>
      </c>
      <c r="BP66" s="829">
        <f>ROUND(BP65+(BO$79-$BP$61)*Vergleich!O92,)</f>
        <v>1701</v>
      </c>
      <c r="BQ66" s="43">
        <f t="shared" si="110"/>
        <v>-519</v>
      </c>
      <c r="BR66" s="110"/>
      <c r="BS66" s="110"/>
      <c r="BT66" s="110"/>
      <c r="BU66" s="110"/>
      <c r="BV66" s="110"/>
      <c r="BW66" s="110"/>
      <c r="BX66" s="110"/>
      <c r="BY66" s="110"/>
      <c r="BZ66" s="110"/>
      <c r="CA66" s="110"/>
      <c r="CB66" s="110"/>
      <c r="CC66" s="110"/>
      <c r="CD66" s="110"/>
      <c r="CE66" s="110"/>
      <c r="CF66" s="110"/>
      <c r="CG66" s="110"/>
      <c r="CH66" s="110"/>
      <c r="CI66" s="110"/>
      <c r="CJ66" s="110"/>
      <c r="CK66" s="110"/>
      <c r="CL66" s="110"/>
      <c r="CM66" s="110"/>
      <c r="CN66" s="110"/>
      <c r="CO66" s="110"/>
      <c r="CP66" s="110"/>
      <c r="CQ66" s="110"/>
      <c r="CR66" s="110"/>
      <c r="CS66" s="110"/>
      <c r="CT66" s="110"/>
      <c r="CU66" s="110"/>
      <c r="CV66" s="110"/>
      <c r="CW66" s="110"/>
      <c r="CX66" s="110"/>
    </row>
    <row r="67" spans="1:102" s="64" customFormat="1" x14ac:dyDescent="0.3">
      <c r="A67" s="103"/>
      <c r="B67" s="110"/>
      <c r="C67" s="156"/>
      <c r="D67" s="110"/>
      <c r="E67" s="156"/>
      <c r="F67" s="156"/>
      <c r="G67" s="680">
        <v>11</v>
      </c>
      <c r="H67" s="681">
        <f t="shared" si="18"/>
        <v>46200.841666666667</v>
      </c>
      <c r="I67" s="218">
        <f t="shared" si="19"/>
        <v>229146</v>
      </c>
      <c r="J67" s="209">
        <f t="shared" si="20"/>
        <v>229146</v>
      </c>
      <c r="K67" s="210">
        <f t="shared" si="21"/>
        <v>229146</v>
      </c>
      <c r="L67" s="218">
        <f t="shared" si="22"/>
        <v>218626.74964689542</v>
      </c>
      <c r="M67" s="219">
        <f t="shared" si="23"/>
        <v>319346.87340019847</v>
      </c>
      <c r="N67" s="399"/>
      <c r="O67" s="209">
        <v>166405</v>
      </c>
      <c r="P67" s="209">
        <v>214911</v>
      </c>
      <c r="Q67" s="209">
        <v>184785</v>
      </c>
      <c r="R67" s="209">
        <v>224693.2</v>
      </c>
      <c r="S67" s="399">
        <v>212794</v>
      </c>
      <c r="T67" s="209">
        <v>244951</v>
      </c>
      <c r="U67" s="209">
        <v>207266</v>
      </c>
      <c r="V67" s="519">
        <v>55502</v>
      </c>
      <c r="W67" s="209">
        <v>127353</v>
      </c>
      <c r="X67" s="209">
        <v>83062</v>
      </c>
      <c r="Y67" s="210">
        <v>139670</v>
      </c>
      <c r="Z67" s="396">
        <v>69668</v>
      </c>
      <c r="AA67" s="397">
        <v>63707</v>
      </c>
      <c r="AB67" s="397">
        <v>19542</v>
      </c>
      <c r="AC67" s="211">
        <v>38542</v>
      </c>
      <c r="AD67" s="396">
        <v>34703</v>
      </c>
      <c r="AE67" s="397">
        <v>50284</v>
      </c>
      <c r="AF67" s="397"/>
      <c r="AG67" s="398">
        <v>375515</v>
      </c>
      <c r="AH67" s="41"/>
      <c r="AI67" s="41"/>
      <c r="AJ67" s="428"/>
      <c r="AK67" s="68">
        <v>11</v>
      </c>
      <c r="AL67" s="747">
        <f t="shared" si="24"/>
        <v>7</v>
      </c>
      <c r="AM67" s="401">
        <f t="shared" si="37"/>
        <v>46200</v>
      </c>
      <c r="AN67" s="55">
        <v>0.84166666666666667</v>
      </c>
      <c r="AO67" s="56">
        <f t="shared" si="25"/>
        <v>46200.841666666667</v>
      </c>
      <c r="AP67" s="57">
        <f t="shared" si="26"/>
        <v>11.091666666667152</v>
      </c>
      <c r="AQ67" s="57">
        <f t="shared" si="38"/>
        <v>1.0916666666671517</v>
      </c>
      <c r="AR67" s="65">
        <v>229146</v>
      </c>
      <c r="AS67" s="66">
        <v>1209</v>
      </c>
      <c r="AT67" s="466">
        <f t="shared" ref="AT67" si="135">AS67-AS66</f>
        <v>27</v>
      </c>
      <c r="AU67" s="60">
        <f t="shared" si="39"/>
        <v>5166</v>
      </c>
      <c r="AV67" s="60">
        <f t="shared" si="28"/>
        <v>20659.293764086247</v>
      </c>
      <c r="AW67" s="61">
        <f t="shared" si="29"/>
        <v>189.53349875930522</v>
      </c>
      <c r="AX67" s="62">
        <f t="shared" si="40"/>
        <v>191.33333333333334</v>
      </c>
      <c r="AY67" s="62">
        <f t="shared" si="124"/>
        <v>177.49230769230769</v>
      </c>
      <c r="AZ67" s="65">
        <f t="shared" ref="AZ67:AZ69" si="136">AR67</f>
        <v>229146</v>
      </c>
      <c r="BA67" s="66">
        <f t="shared" ref="BA67:BA69" si="137">AS67</f>
        <v>1209</v>
      </c>
      <c r="BB67" s="628">
        <f t="shared" ref="BB67:BB69" si="138">BA67-BA66</f>
        <v>27</v>
      </c>
      <c r="BC67" s="631">
        <f t="shared" ref="BC67:BC69" si="139">AZ67/BA67</f>
        <v>189.53349875930522</v>
      </c>
      <c r="BD67" s="60">
        <f t="shared" ref="BD67:BD69" si="140">AZ67-AZ66</f>
        <v>5166</v>
      </c>
      <c r="BE67" s="65">
        <f t="shared" ref="BE67:BE69" si="141">AR67</f>
        <v>229146</v>
      </c>
      <c r="BF67" s="66">
        <f t="shared" ref="BF67:BF69" si="142">AS67</f>
        <v>1209</v>
      </c>
      <c r="BG67" s="628">
        <f t="shared" ref="BG67" si="143">BF67-BF66</f>
        <v>27</v>
      </c>
      <c r="BH67" s="631">
        <f t="shared" ref="BH67" si="144">BE67/BF67</f>
        <v>189.53349875930522</v>
      </c>
      <c r="BI67" s="60">
        <f t="shared" si="48"/>
        <v>5166</v>
      </c>
      <c r="BJ67" s="828">
        <f>BJ66+(BI$79-$BJ$61)*Vergleich!AC93</f>
        <v>218626.74964689542</v>
      </c>
      <c r="BK67" s="60">
        <f t="shared" si="107"/>
        <v>12530.19019022811</v>
      </c>
      <c r="BL67" s="829">
        <f>ROUND(BL66+(BK$79-$BL$61)*Vergleich!AD93,)</f>
        <v>1145</v>
      </c>
      <c r="BM67" s="67">
        <f t="shared" si="108"/>
        <v>73</v>
      </c>
      <c r="BN67" s="828">
        <f>BN66+(BM$79-$BN$61)*Vergleich!N93</f>
        <v>319346.87340019847</v>
      </c>
      <c r="BO67" s="60">
        <f t="shared" si="109"/>
        <v>-83226.57940093748</v>
      </c>
      <c r="BP67" s="829">
        <f>ROUND(BP66+(BO$79-$BP$61)*Vergleich!O93,)</f>
        <v>1777</v>
      </c>
      <c r="BQ67" s="43">
        <f t="shared" si="110"/>
        <v>-568</v>
      </c>
      <c r="BR67" s="110"/>
      <c r="BS67" s="110"/>
      <c r="BT67" s="110"/>
      <c r="BU67" s="110"/>
      <c r="BV67" s="110"/>
      <c r="BW67" s="110"/>
      <c r="BX67" s="110"/>
      <c r="BY67" s="110"/>
      <c r="BZ67" s="110"/>
      <c r="CA67" s="110"/>
      <c r="CB67" s="110"/>
      <c r="CC67" s="110"/>
      <c r="CD67" s="110"/>
      <c r="CE67" s="110"/>
      <c r="CF67" s="110"/>
      <c r="CG67" s="110"/>
      <c r="CH67" s="110"/>
      <c r="CI67" s="110"/>
      <c r="CJ67" s="110"/>
      <c r="CK67" s="110"/>
      <c r="CL67" s="110"/>
      <c r="CM67" s="110"/>
      <c r="CN67" s="110"/>
      <c r="CO67" s="110"/>
      <c r="CP67" s="110"/>
      <c r="CQ67" s="110"/>
      <c r="CR67" s="110"/>
      <c r="CS67" s="110"/>
      <c r="CT67" s="110"/>
      <c r="CU67" s="110"/>
      <c r="CV67" s="110"/>
      <c r="CW67" s="110"/>
      <c r="CX67" s="110"/>
    </row>
    <row r="68" spans="1:102" s="64" customFormat="1" x14ac:dyDescent="0.3">
      <c r="A68" s="103"/>
      <c r="B68" s="110"/>
      <c r="C68" s="156"/>
      <c r="D68" s="110"/>
      <c r="E68" s="156"/>
      <c r="F68" s="156"/>
      <c r="G68" s="680">
        <v>12</v>
      </c>
      <c r="H68" s="681">
        <f t="shared" si="18"/>
        <v>46201.93472222222</v>
      </c>
      <c r="I68" s="218">
        <f t="shared" si="19"/>
        <v>236347</v>
      </c>
      <c r="J68" s="209">
        <f t="shared" si="20"/>
        <v>236347</v>
      </c>
      <c r="K68" s="210">
        <f t="shared" si="21"/>
        <v>236347</v>
      </c>
      <c r="L68" s="218">
        <f t="shared" si="22"/>
        <v>226087.36299536773</v>
      </c>
      <c r="M68" s="219">
        <f t="shared" si="23"/>
        <v>332107.22601542919</v>
      </c>
      <c r="N68" s="399">
        <v>125000</v>
      </c>
      <c r="O68" s="209">
        <v>169780</v>
      </c>
      <c r="P68" s="209">
        <v>220698</v>
      </c>
      <c r="Q68" s="209">
        <v>189297</v>
      </c>
      <c r="R68" s="209">
        <v>232990.67</v>
      </c>
      <c r="S68" s="399">
        <v>221864</v>
      </c>
      <c r="T68" s="209">
        <v>249552</v>
      </c>
      <c r="U68" s="209">
        <v>212275</v>
      </c>
      <c r="V68" s="519">
        <v>57013</v>
      </c>
      <c r="W68" s="209">
        <v>134068</v>
      </c>
      <c r="X68" s="209">
        <v>86154</v>
      </c>
      <c r="Y68" s="210">
        <v>143057</v>
      </c>
      <c r="Z68" s="396">
        <v>71286</v>
      </c>
      <c r="AA68" s="397">
        <v>66094</v>
      </c>
      <c r="AB68" s="397">
        <v>20594</v>
      </c>
      <c r="AC68" s="211">
        <v>40462</v>
      </c>
      <c r="AD68" s="396">
        <v>36986</v>
      </c>
      <c r="AE68" s="397">
        <v>54218</v>
      </c>
      <c r="AF68" s="397"/>
      <c r="AG68" s="398">
        <v>383107</v>
      </c>
      <c r="AH68" s="41"/>
      <c r="AI68" s="41"/>
      <c r="AJ68" s="428"/>
      <c r="AK68" s="68">
        <v>12</v>
      </c>
      <c r="AL68" s="747">
        <f t="shared" si="24"/>
        <v>1</v>
      </c>
      <c r="AM68" s="401">
        <f t="shared" si="37"/>
        <v>46201</v>
      </c>
      <c r="AN68" s="55">
        <v>0.93472222222222223</v>
      </c>
      <c r="AO68" s="56">
        <f t="shared" si="25"/>
        <v>46201.93472222222</v>
      </c>
      <c r="AP68" s="57">
        <f t="shared" si="26"/>
        <v>12.184722222220444</v>
      </c>
      <c r="AQ68" s="57">
        <f t="shared" si="38"/>
        <v>1.0930555555532919</v>
      </c>
      <c r="AR68" s="65">
        <v>236347</v>
      </c>
      <c r="AS68" s="66">
        <v>1245</v>
      </c>
      <c r="AT68" s="466">
        <f t="shared" si="27"/>
        <v>36</v>
      </c>
      <c r="AU68" s="60">
        <f t="shared" si="39"/>
        <v>7201</v>
      </c>
      <c r="AV68" s="60">
        <f t="shared" si="28"/>
        <v>19396.995326572989</v>
      </c>
      <c r="AW68" s="61">
        <f t="shared" si="29"/>
        <v>189.83694779116465</v>
      </c>
      <c r="AX68" s="62">
        <f t="shared" si="40"/>
        <v>200.02777777777777</v>
      </c>
      <c r="AY68" s="62">
        <f t="shared" si="124"/>
        <v>181.44878048780487</v>
      </c>
      <c r="AZ68" s="65">
        <f t="shared" si="136"/>
        <v>236347</v>
      </c>
      <c r="BA68" s="66">
        <f t="shared" si="137"/>
        <v>1245</v>
      </c>
      <c r="BB68" s="628">
        <f t="shared" si="138"/>
        <v>36</v>
      </c>
      <c r="BC68" s="631">
        <f t="shared" si="139"/>
        <v>189.83694779116465</v>
      </c>
      <c r="BD68" s="60">
        <f t="shared" si="140"/>
        <v>7201</v>
      </c>
      <c r="BE68" s="65">
        <f t="shared" si="141"/>
        <v>236347</v>
      </c>
      <c r="BF68" s="66">
        <f t="shared" si="142"/>
        <v>1245</v>
      </c>
      <c r="BG68" s="628">
        <f t="shared" ref="BG68" si="145">BF68-BF67</f>
        <v>36</v>
      </c>
      <c r="BH68" s="631">
        <f t="shared" ref="BH68" si="146">BE68/BF68</f>
        <v>189.83694779116465</v>
      </c>
      <c r="BI68" s="60">
        <f t="shared" si="48"/>
        <v>7201</v>
      </c>
      <c r="BJ68" s="828">
        <f>BJ67+(BI$79-$BJ$61)*Vergleich!AC94</f>
        <v>226087.36299536773</v>
      </c>
      <c r="BK68" s="60">
        <f t="shared" si="107"/>
        <v>10519.25035310458</v>
      </c>
      <c r="BL68" s="829">
        <f>ROUND(BL67+(BK$79-$BL$61)*Vergleich!AD94,)</f>
        <v>1165</v>
      </c>
      <c r="BM68" s="67">
        <f t="shared" si="108"/>
        <v>64</v>
      </c>
      <c r="BN68" s="828">
        <f>BN67+(BM$79-$BN$61)*Vergleich!N94</f>
        <v>332107.22601542919</v>
      </c>
      <c r="BO68" s="60">
        <f t="shared" si="109"/>
        <v>-90200.87340019847</v>
      </c>
      <c r="BP68" s="829">
        <f>ROUND(BP67+(BO$79-$BP$61)*Vergleich!O94,)</f>
        <v>1863</v>
      </c>
      <c r="BQ68" s="43">
        <f t="shared" si="110"/>
        <v>-618</v>
      </c>
      <c r="BR68" s="110"/>
      <c r="BS68" s="110"/>
      <c r="BT68" s="110"/>
      <c r="BU68" s="110"/>
      <c r="BV68" s="110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10"/>
      <c r="CO68" s="110"/>
      <c r="CP68" s="110"/>
      <c r="CQ68" s="110"/>
      <c r="CR68" s="110"/>
      <c r="CS68" s="110"/>
      <c r="CT68" s="110"/>
      <c r="CU68" s="110"/>
      <c r="CV68" s="110"/>
      <c r="CW68" s="110"/>
      <c r="CX68" s="110"/>
    </row>
    <row r="69" spans="1:102" s="64" customFormat="1" ht="15.75" thickBot="1" x14ac:dyDescent="0.35">
      <c r="A69" s="103"/>
      <c r="B69" s="110"/>
      <c r="C69" s="156"/>
      <c r="D69" s="110"/>
      <c r="E69" s="156"/>
      <c r="F69" s="156"/>
      <c r="G69" s="680">
        <v>13</v>
      </c>
      <c r="H69" s="681">
        <f t="shared" si="18"/>
        <v>46202.75</v>
      </c>
      <c r="I69" s="218">
        <f t="shared" si="19"/>
        <v>240841</v>
      </c>
      <c r="J69" s="209">
        <f t="shared" si="20"/>
        <v>240841</v>
      </c>
      <c r="K69" s="210">
        <f t="shared" si="21"/>
        <v>240841</v>
      </c>
      <c r="L69" s="218">
        <f t="shared" si="22"/>
        <v>227612.10811886727</v>
      </c>
      <c r="M69" s="219">
        <f t="shared" si="23"/>
        <v>342149.15091796336</v>
      </c>
      <c r="N69" s="399"/>
      <c r="O69" s="209">
        <v>172436</v>
      </c>
      <c r="P69" s="209">
        <v>224732</v>
      </c>
      <c r="Q69" s="209">
        <v>195413</v>
      </c>
      <c r="R69" s="209">
        <v>241976.2</v>
      </c>
      <c r="S69" s="399">
        <v>229701</v>
      </c>
      <c r="T69" s="209">
        <v>254467</v>
      </c>
      <c r="U69" s="209">
        <v>218189</v>
      </c>
      <c r="V69" s="519">
        <v>57853</v>
      </c>
      <c r="W69" s="209">
        <v>139930</v>
      </c>
      <c r="X69" s="209">
        <v>89062</v>
      </c>
      <c r="Y69" s="210">
        <v>149744</v>
      </c>
      <c r="Z69" s="396">
        <v>74079</v>
      </c>
      <c r="AA69" s="397">
        <v>68288</v>
      </c>
      <c r="AB69" s="397">
        <v>20809</v>
      </c>
      <c r="AC69" s="211">
        <v>42073</v>
      </c>
      <c r="AD69" s="396">
        <v>37704</v>
      </c>
      <c r="AE69" s="397">
        <v>55585</v>
      </c>
      <c r="AF69" s="397"/>
      <c r="AG69" s="398">
        <v>390522</v>
      </c>
      <c r="AH69" s="41"/>
      <c r="AI69" s="41"/>
      <c r="AJ69" s="428"/>
      <c r="AK69" s="68">
        <v>13</v>
      </c>
      <c r="AL69" s="747">
        <f t="shared" si="24"/>
        <v>2</v>
      </c>
      <c r="AM69" s="401">
        <f t="shared" si="37"/>
        <v>46202</v>
      </c>
      <c r="AN69" s="55">
        <v>0.75</v>
      </c>
      <c r="AO69" s="56">
        <f t="shared" si="25"/>
        <v>46202.75</v>
      </c>
      <c r="AP69" s="57">
        <f t="shared" si="26"/>
        <v>13</v>
      </c>
      <c r="AQ69" s="57">
        <f t="shared" si="38"/>
        <v>0.81527777777955635</v>
      </c>
      <c r="AR69" s="65">
        <v>240841</v>
      </c>
      <c r="AS69" s="66">
        <v>1267</v>
      </c>
      <c r="AT69" s="466">
        <f t="shared" si="27"/>
        <v>22</v>
      </c>
      <c r="AU69" s="60">
        <f t="shared" si="39"/>
        <v>4494</v>
      </c>
      <c r="AV69" s="60">
        <f t="shared" si="28"/>
        <v>18526.23076923077</v>
      </c>
      <c r="AW69" s="61">
        <f t="shared" si="29"/>
        <v>190.08760852407261</v>
      </c>
      <c r="AX69" s="62">
        <f t="shared" si="40"/>
        <v>204.27272727272728</v>
      </c>
      <c r="AY69" s="62">
        <f t="shared" si="124"/>
        <v>182.3041237113402</v>
      </c>
      <c r="AZ69" s="65">
        <f t="shared" si="136"/>
        <v>240841</v>
      </c>
      <c r="BA69" s="66">
        <f t="shared" si="137"/>
        <v>1267</v>
      </c>
      <c r="BB69" s="628">
        <f t="shared" si="138"/>
        <v>22</v>
      </c>
      <c r="BC69" s="631">
        <f t="shared" si="139"/>
        <v>190.08760852407261</v>
      </c>
      <c r="BD69" s="60">
        <f t="shared" si="140"/>
        <v>4494</v>
      </c>
      <c r="BE69" s="65">
        <f t="shared" si="141"/>
        <v>240841</v>
      </c>
      <c r="BF69" s="66">
        <f t="shared" si="142"/>
        <v>1267</v>
      </c>
      <c r="BG69" s="628">
        <f t="shared" ref="BG69" si="147">BF69-BF68</f>
        <v>22</v>
      </c>
      <c r="BH69" s="631">
        <f t="shared" ref="BH69" si="148">BE69/BF69</f>
        <v>190.08760852407261</v>
      </c>
      <c r="BI69" s="60">
        <f t="shared" si="48"/>
        <v>4494</v>
      </c>
      <c r="BJ69" s="828">
        <f>BJ68+(BI$79-$BJ$61)*Vergleich!AC95</f>
        <v>227612.10811886727</v>
      </c>
      <c r="BK69" s="60">
        <f t="shared" si="107"/>
        <v>10259.63700463227</v>
      </c>
      <c r="BL69" s="829">
        <f>ROUND(BL68+(BK$79-$BL$61)*Vergleich!AD95,)</f>
        <v>1170</v>
      </c>
      <c r="BM69" s="67">
        <f t="shared" si="108"/>
        <v>80</v>
      </c>
      <c r="BN69" s="828">
        <f>BN68+(BM$79-$BN$61)*Vergleich!N95</f>
        <v>342149.15091796336</v>
      </c>
      <c r="BO69" s="60">
        <f t="shared" si="109"/>
        <v>-95760.226015429187</v>
      </c>
      <c r="BP69" s="829">
        <f>ROUND(BP68+(BO$79-$BP$61)*Vergleich!O95,)</f>
        <v>1916</v>
      </c>
      <c r="BQ69" s="43">
        <f t="shared" si="110"/>
        <v>-649</v>
      </c>
      <c r="BR69" s="110"/>
      <c r="BS69" s="110"/>
      <c r="BT69" s="110"/>
      <c r="BU69" s="110"/>
      <c r="BV69" s="110"/>
      <c r="BW69" s="110"/>
      <c r="BX69" s="110"/>
      <c r="BY69" s="110"/>
      <c r="BZ69" s="110"/>
      <c r="CA69" s="110"/>
      <c r="CB69" s="110"/>
      <c r="CC69" s="110"/>
      <c r="CD69" s="110"/>
      <c r="CE69" s="110"/>
      <c r="CF69" s="110"/>
      <c r="CG69" s="110"/>
      <c r="CH69" s="110"/>
      <c r="CI69" s="110"/>
      <c r="CJ69" s="110"/>
      <c r="CK69" s="110"/>
      <c r="CL69" s="110"/>
      <c r="CM69" s="110"/>
      <c r="CN69" s="110"/>
      <c r="CO69" s="110"/>
      <c r="CP69" s="110"/>
      <c r="CQ69" s="110"/>
      <c r="CR69" s="110"/>
      <c r="CS69" s="110"/>
      <c r="CT69" s="110"/>
      <c r="CU69" s="110"/>
      <c r="CV69" s="110"/>
      <c r="CW69" s="110"/>
      <c r="CX69" s="110"/>
    </row>
    <row r="70" spans="1:102" s="64" customFormat="1" ht="15.75" thickBot="1" x14ac:dyDescent="0.35">
      <c r="A70" s="103"/>
      <c r="B70" s="110"/>
      <c r="C70" s="156"/>
      <c r="D70" s="110"/>
      <c r="E70" s="156"/>
      <c r="F70" s="156"/>
      <c r="G70" s="680">
        <v>14</v>
      </c>
      <c r="H70" s="681">
        <f t="shared" si="18"/>
        <v>46203.752083333333</v>
      </c>
      <c r="I70" s="218">
        <f t="shared" si="19"/>
        <v>249899</v>
      </c>
      <c r="J70" s="209">
        <f t="shared" si="20"/>
        <v>249899</v>
      </c>
      <c r="K70" s="210">
        <f t="shared" si="21"/>
        <v>249899</v>
      </c>
      <c r="L70" s="218">
        <f t="shared" si="22"/>
        <v>231987.77203142186</v>
      </c>
      <c r="M70" s="219">
        <f t="shared" si="23"/>
        <v>358002.23492260405</v>
      </c>
      <c r="N70" s="399"/>
      <c r="O70" s="209">
        <v>176629</v>
      </c>
      <c r="P70" s="209">
        <v>232641</v>
      </c>
      <c r="Q70" s="209">
        <v>204026</v>
      </c>
      <c r="R70" s="209">
        <v>253405.41</v>
      </c>
      <c r="S70" s="399">
        <v>240791</v>
      </c>
      <c r="T70" s="209">
        <v>262458</v>
      </c>
      <c r="U70" s="209">
        <v>230035</v>
      </c>
      <c r="V70" s="519">
        <v>59064</v>
      </c>
      <c r="W70" s="209">
        <v>148846</v>
      </c>
      <c r="X70" s="209">
        <v>93109</v>
      </c>
      <c r="Y70" s="210">
        <v>155980</v>
      </c>
      <c r="Z70" s="396">
        <v>75411</v>
      </c>
      <c r="AA70" s="397">
        <v>71648</v>
      </c>
      <c r="AB70" s="397">
        <v>21426</v>
      </c>
      <c r="AC70" s="211">
        <v>43611</v>
      </c>
      <c r="AD70" s="396">
        <v>38541</v>
      </c>
      <c r="AE70" s="397">
        <v>57658</v>
      </c>
      <c r="AF70" s="397"/>
      <c r="AG70" s="398">
        <v>398145</v>
      </c>
      <c r="AH70" s="41"/>
      <c r="AI70" s="41"/>
      <c r="AJ70" s="428"/>
      <c r="AK70" s="68">
        <v>14</v>
      </c>
      <c r="AL70" s="830">
        <f t="shared" si="24"/>
        <v>3</v>
      </c>
      <c r="AM70" s="288">
        <f t="shared" si="37"/>
        <v>46203</v>
      </c>
      <c r="AN70" s="55">
        <v>0.75208333333333333</v>
      </c>
      <c r="AO70" s="56">
        <f t="shared" si="25"/>
        <v>46203.752083333333</v>
      </c>
      <c r="AP70" s="57">
        <f t="shared" si="26"/>
        <v>14.002083333332848</v>
      </c>
      <c r="AQ70" s="57">
        <f t="shared" si="38"/>
        <v>1.0020833333328483</v>
      </c>
      <c r="AR70" s="65">
        <v>249899</v>
      </c>
      <c r="AS70" s="66">
        <v>1314</v>
      </c>
      <c r="AT70" s="466">
        <f t="shared" ref="AT70" si="149">AS70-AS69</f>
        <v>47</v>
      </c>
      <c r="AU70" s="60">
        <f t="shared" si="39"/>
        <v>9058</v>
      </c>
      <c r="AV70" s="60">
        <f t="shared" si="28"/>
        <v>17847.272727273346</v>
      </c>
      <c r="AW70" s="61">
        <f t="shared" si="29"/>
        <v>190.18188736681887</v>
      </c>
      <c r="AX70" s="62">
        <f t="shared" si="40"/>
        <v>192.72340425531914</v>
      </c>
      <c r="AY70" s="62">
        <f t="shared" si="124"/>
        <v>192.66477272727272</v>
      </c>
      <c r="AZ70" s="65">
        <f t="shared" ref="AZ70:AZ72" si="150">AR70</f>
        <v>249899</v>
      </c>
      <c r="BA70" s="66">
        <f t="shared" ref="BA70:BA72" si="151">AS70</f>
        <v>1314</v>
      </c>
      <c r="BB70" s="628">
        <f t="shared" ref="BB70:BB72" si="152">BA70-BA69</f>
        <v>47</v>
      </c>
      <c r="BC70" s="631">
        <f t="shared" ref="BC70:BC72" si="153">AZ70/BA70</f>
        <v>190.18188736681887</v>
      </c>
      <c r="BD70" s="60">
        <f t="shared" ref="BD70:BD72" si="154">AZ70-AZ69</f>
        <v>9058</v>
      </c>
      <c r="BE70" s="65">
        <f t="shared" ref="BE70:BE72" si="155">AR70</f>
        <v>249899</v>
      </c>
      <c r="BF70" s="66">
        <f t="shared" ref="BF70:BF72" si="156">AS70</f>
        <v>1314</v>
      </c>
      <c r="BG70" s="628">
        <f t="shared" ref="BG70" si="157">BF70-BF69</f>
        <v>47</v>
      </c>
      <c r="BH70" s="631">
        <f t="shared" ref="BH70" si="158">BE70/BF70</f>
        <v>190.18188736681887</v>
      </c>
      <c r="BI70" s="60">
        <f t="shared" si="48"/>
        <v>9058</v>
      </c>
      <c r="BJ70" s="828">
        <f>BJ69+(BI$79-$BJ$61)*Vergleich!AC96</f>
        <v>231987.77203142186</v>
      </c>
      <c r="BK70" s="60">
        <f t="shared" si="107"/>
        <v>13228.891881132731</v>
      </c>
      <c r="BL70" s="829">
        <f>ROUND(BL69+(BK$79-$BL$61)*Vergleich!AD96,)</f>
        <v>1190</v>
      </c>
      <c r="BM70" s="67">
        <f t="shared" si="108"/>
        <v>97</v>
      </c>
      <c r="BN70" s="828">
        <f>BN69+(BM$79-$BN$61)*Vergleich!N96</f>
        <v>358002.23492260405</v>
      </c>
      <c r="BO70" s="60">
        <f t="shared" si="109"/>
        <v>-101308.15091796336</v>
      </c>
      <c r="BP70" s="829">
        <f>ROUND(BP69+(BO$79-$BP$61)*Vergleich!O96,)</f>
        <v>2005</v>
      </c>
      <c r="BQ70" s="43">
        <f t="shared" si="110"/>
        <v>-691</v>
      </c>
      <c r="BR70" s="110"/>
      <c r="BS70" s="110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10"/>
      <c r="CO70" s="110"/>
      <c r="CP70" s="110"/>
      <c r="CQ70" s="110"/>
      <c r="CR70" s="110"/>
      <c r="CS70" s="110"/>
      <c r="CT70" s="110"/>
      <c r="CU70" s="110"/>
      <c r="CV70" s="110"/>
      <c r="CW70" s="110"/>
      <c r="CX70" s="110"/>
    </row>
    <row r="71" spans="1:102" s="64" customFormat="1" x14ac:dyDescent="0.3">
      <c r="A71" s="103"/>
      <c r="B71" s="110"/>
      <c r="C71" s="156"/>
      <c r="D71" s="110"/>
      <c r="E71" s="156"/>
      <c r="F71" s="156"/>
      <c r="G71" s="680">
        <v>15</v>
      </c>
      <c r="H71" s="681">
        <f t="shared" si="18"/>
        <v>46204.75</v>
      </c>
      <c r="I71" s="218">
        <f t="shared" si="19"/>
        <v>260287</v>
      </c>
      <c r="J71" s="209">
        <f t="shared" si="20"/>
        <v>260287</v>
      </c>
      <c r="K71" s="210">
        <f t="shared" si="21"/>
        <v>260287</v>
      </c>
      <c r="L71" s="218">
        <f t="shared" si="22"/>
        <v>239767.51808016148</v>
      </c>
      <c r="M71" s="219">
        <f t="shared" si="23"/>
        <v>402026.39665645477</v>
      </c>
      <c r="N71" s="399"/>
      <c r="O71" s="209">
        <v>188273</v>
      </c>
      <c r="P71" s="209">
        <v>242719</v>
      </c>
      <c r="Q71" s="209">
        <v>214753</v>
      </c>
      <c r="R71" s="209">
        <v>264609.71999999997</v>
      </c>
      <c r="S71" s="399">
        <v>249000</v>
      </c>
      <c r="T71" s="209">
        <v>266895</v>
      </c>
      <c r="U71" s="209">
        <v>255642</v>
      </c>
      <c r="V71" s="519">
        <v>60362</v>
      </c>
      <c r="W71" s="209">
        <v>159815</v>
      </c>
      <c r="X71" s="209">
        <v>97466</v>
      </c>
      <c r="Y71" s="210">
        <v>165152</v>
      </c>
      <c r="Z71" s="396">
        <v>77016</v>
      </c>
      <c r="AA71" s="397">
        <v>75191</v>
      </c>
      <c r="AB71" s="397">
        <v>22523</v>
      </c>
      <c r="AC71" s="211">
        <v>45951</v>
      </c>
      <c r="AD71" s="396">
        <v>40401</v>
      </c>
      <c r="AE71" s="397">
        <v>59154</v>
      </c>
      <c r="AF71" s="397"/>
      <c r="AG71" s="398">
        <v>412178</v>
      </c>
      <c r="AH71" s="41"/>
      <c r="AI71" s="41"/>
      <c r="AJ71" s="428"/>
      <c r="AK71" s="68">
        <v>15</v>
      </c>
      <c r="AL71" s="747">
        <f t="shared" si="24"/>
        <v>4</v>
      </c>
      <c r="AM71" s="401">
        <f t="shared" si="37"/>
        <v>46204</v>
      </c>
      <c r="AN71" s="55">
        <v>0.75</v>
      </c>
      <c r="AO71" s="56">
        <f t="shared" si="25"/>
        <v>46204.75</v>
      </c>
      <c r="AP71" s="57">
        <f t="shared" si="26"/>
        <v>15</v>
      </c>
      <c r="AQ71" s="57">
        <f t="shared" si="38"/>
        <v>0.99791666666715173</v>
      </c>
      <c r="AR71" s="65">
        <v>260287</v>
      </c>
      <c r="AS71" s="66">
        <v>1376</v>
      </c>
      <c r="AT71" s="466">
        <f t="shared" si="27"/>
        <v>62</v>
      </c>
      <c r="AU71" s="60">
        <f t="shared" si="39"/>
        <v>10388</v>
      </c>
      <c r="AV71" s="60">
        <f t="shared" si="28"/>
        <v>17352.466666666667</v>
      </c>
      <c r="AW71" s="61">
        <f t="shared" si="29"/>
        <v>189.16206395348837</v>
      </c>
      <c r="AX71" s="62">
        <f t="shared" si="40"/>
        <v>167.54838709677421</v>
      </c>
      <c r="AY71" s="62">
        <f t="shared" si="124"/>
        <v>187.14948453608247</v>
      </c>
      <c r="AZ71" s="65">
        <f t="shared" si="150"/>
        <v>260287</v>
      </c>
      <c r="BA71" s="66">
        <f t="shared" si="151"/>
        <v>1376</v>
      </c>
      <c r="BB71" s="628">
        <f t="shared" si="152"/>
        <v>62</v>
      </c>
      <c r="BC71" s="631">
        <f t="shared" si="153"/>
        <v>189.16206395348837</v>
      </c>
      <c r="BD71" s="60">
        <f t="shared" si="154"/>
        <v>10388</v>
      </c>
      <c r="BE71" s="65">
        <f t="shared" si="155"/>
        <v>260287</v>
      </c>
      <c r="BF71" s="66">
        <f t="shared" si="156"/>
        <v>1376</v>
      </c>
      <c r="BG71" s="628">
        <f t="shared" ref="BG71" si="159">BF71-BF70</f>
        <v>62</v>
      </c>
      <c r="BH71" s="631">
        <f t="shared" si="47"/>
        <v>189.16206395348837</v>
      </c>
      <c r="BI71" s="60">
        <f t="shared" si="48"/>
        <v>10388</v>
      </c>
      <c r="BJ71" s="828">
        <f>BJ70+(BI$79-$BJ$61)*Vergleich!AC97</f>
        <v>239767.51808016148</v>
      </c>
      <c r="BK71" s="60">
        <f t="shared" si="107"/>
        <v>17911.22796857814</v>
      </c>
      <c r="BL71" s="829">
        <f>ROUND(BL70+(BK$79-$BL$61)*Vergleich!AD97,)</f>
        <v>1216</v>
      </c>
      <c r="BM71" s="67">
        <f t="shared" si="108"/>
        <v>124</v>
      </c>
      <c r="BN71" s="828">
        <f>BN70+(BM$79-$BN$61)*Vergleich!N97</f>
        <v>402026.39665645477</v>
      </c>
      <c r="BO71" s="60">
        <f t="shared" si="109"/>
        <v>-108103.23492260405</v>
      </c>
      <c r="BP71" s="829">
        <f>ROUND(BP70+(BO$79-$BP$61)*Vergleich!O97,)</f>
        <v>2272</v>
      </c>
      <c r="BQ71" s="43">
        <f t="shared" si="110"/>
        <v>-896</v>
      </c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  <c r="CS71" s="110"/>
      <c r="CT71" s="110"/>
      <c r="CU71" s="110"/>
      <c r="CV71" s="110"/>
      <c r="CW71" s="110"/>
      <c r="CX71" s="110"/>
    </row>
    <row r="72" spans="1:102" s="64" customFormat="1" x14ac:dyDescent="0.3">
      <c r="A72" s="103"/>
      <c r="B72" s="110"/>
      <c r="C72" s="156"/>
      <c r="D72" s="110"/>
      <c r="E72" s="156"/>
      <c r="F72" s="156"/>
      <c r="G72" s="680">
        <v>16</v>
      </c>
      <c r="H72" s="681">
        <f t="shared" si="18"/>
        <v>46205.75</v>
      </c>
      <c r="I72" s="218">
        <f t="shared" si="19"/>
        <v>266188</v>
      </c>
      <c r="J72" s="209">
        <f t="shared" si="20"/>
        <v>266188</v>
      </c>
      <c r="K72" s="210">
        <f t="shared" si="21"/>
        <v>266188</v>
      </c>
      <c r="L72" s="218">
        <f t="shared" si="22"/>
        <v>246717.519108206</v>
      </c>
      <c r="M72" s="219">
        <f t="shared" si="23"/>
        <v>420896.5951461189</v>
      </c>
      <c r="N72" s="399"/>
      <c r="O72" s="209">
        <v>193264</v>
      </c>
      <c r="P72" s="209">
        <v>251181</v>
      </c>
      <c r="Q72" s="209">
        <v>222938</v>
      </c>
      <c r="R72" s="209">
        <v>272847.35999999999</v>
      </c>
      <c r="S72" s="399">
        <v>257666</v>
      </c>
      <c r="T72" s="209">
        <v>277174</v>
      </c>
      <c r="U72" s="209">
        <v>273190</v>
      </c>
      <c r="V72" s="519">
        <v>61360</v>
      </c>
      <c r="W72" s="209">
        <v>167089</v>
      </c>
      <c r="X72" s="209">
        <v>103452</v>
      </c>
      <c r="Y72" s="210">
        <v>174081</v>
      </c>
      <c r="Z72" s="396">
        <v>80049</v>
      </c>
      <c r="AA72" s="397">
        <v>78668</v>
      </c>
      <c r="AB72" s="397">
        <v>23503</v>
      </c>
      <c r="AC72" s="211">
        <v>47979</v>
      </c>
      <c r="AD72" s="396">
        <v>42277</v>
      </c>
      <c r="AE72" s="397">
        <v>61842</v>
      </c>
      <c r="AF72" s="397"/>
      <c r="AG72" s="398">
        <v>427537</v>
      </c>
      <c r="AH72" s="41"/>
      <c r="AI72" s="41"/>
      <c r="AJ72" s="428"/>
      <c r="AK72" s="68">
        <v>16</v>
      </c>
      <c r="AL72" s="747">
        <f t="shared" si="24"/>
        <v>5</v>
      </c>
      <c r="AM72" s="401">
        <f t="shared" si="37"/>
        <v>46205</v>
      </c>
      <c r="AN72" s="55">
        <v>0.75</v>
      </c>
      <c r="AO72" s="56">
        <f t="shared" si="25"/>
        <v>46205.75</v>
      </c>
      <c r="AP72" s="57">
        <f t="shared" si="26"/>
        <v>16</v>
      </c>
      <c r="AQ72" s="57">
        <f t="shared" si="38"/>
        <v>1</v>
      </c>
      <c r="AR72" s="65">
        <v>266188</v>
      </c>
      <c r="AS72" s="66">
        <v>1410</v>
      </c>
      <c r="AT72" s="466">
        <f t="shared" ref="AT72" si="160">AS72-AS71</f>
        <v>34</v>
      </c>
      <c r="AU72" s="60">
        <f t="shared" si="39"/>
        <v>5901</v>
      </c>
      <c r="AV72" s="60">
        <f t="shared" si="28"/>
        <v>16636.75</v>
      </c>
      <c r="AW72" s="61">
        <f t="shared" si="29"/>
        <v>188.78581560283689</v>
      </c>
      <c r="AX72" s="62">
        <f t="shared" si="40"/>
        <v>173.55882352941177</v>
      </c>
      <c r="AY72" s="62">
        <f t="shared" si="124"/>
        <v>184.28855721393035</v>
      </c>
      <c r="AZ72" s="65">
        <f t="shared" si="150"/>
        <v>266188</v>
      </c>
      <c r="BA72" s="66">
        <f t="shared" si="151"/>
        <v>1410</v>
      </c>
      <c r="BB72" s="628">
        <f t="shared" si="152"/>
        <v>34</v>
      </c>
      <c r="BC72" s="631">
        <f t="shared" si="153"/>
        <v>188.78581560283689</v>
      </c>
      <c r="BD72" s="60">
        <f t="shared" si="154"/>
        <v>5901</v>
      </c>
      <c r="BE72" s="65">
        <f t="shared" si="155"/>
        <v>266188</v>
      </c>
      <c r="BF72" s="66">
        <f t="shared" si="156"/>
        <v>1410</v>
      </c>
      <c r="BG72" s="628">
        <f t="shared" ref="BG72" si="161">BF72-BF71</f>
        <v>34</v>
      </c>
      <c r="BH72" s="631">
        <f t="shared" ref="BH72" si="162">BE72/BF72</f>
        <v>188.78581560283689</v>
      </c>
      <c r="BI72" s="60">
        <f t="shared" si="48"/>
        <v>5901</v>
      </c>
      <c r="BJ72" s="828">
        <f>BJ71+(BI$79-$BJ$61)*Vergleich!AC98</f>
        <v>246717.519108206</v>
      </c>
      <c r="BK72" s="60">
        <f t="shared" si="107"/>
        <v>20519.481919838523</v>
      </c>
      <c r="BL72" s="829">
        <f>ROUND(BL71+(BK$79-$BL$61)*Vergleich!AD98,)</f>
        <v>1257</v>
      </c>
      <c r="BM72" s="67">
        <f t="shared" si="108"/>
        <v>160</v>
      </c>
      <c r="BN72" s="828">
        <f>BN71+(BM$79-$BN$61)*Vergleich!N98</f>
        <v>420896.5951461189</v>
      </c>
      <c r="BO72" s="60">
        <f t="shared" si="109"/>
        <v>-141739.39665645477</v>
      </c>
      <c r="BP72" s="829">
        <f>ROUND(BP71+(BO$79-$BP$61)*Vergleich!O98,)</f>
        <v>2394</v>
      </c>
      <c r="BQ72" s="43">
        <f t="shared" si="110"/>
        <v>-984</v>
      </c>
      <c r="BR72" s="110"/>
      <c r="BS72" s="110"/>
      <c r="BT72" s="110"/>
      <c r="BU72" s="110"/>
      <c r="BV72" s="110"/>
      <c r="BW72" s="110"/>
      <c r="BX72" s="110"/>
      <c r="BY72" s="110"/>
      <c r="BZ72" s="110"/>
      <c r="CA72" s="110"/>
      <c r="CB72" s="110"/>
      <c r="CC72" s="110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  <c r="CN72" s="110"/>
      <c r="CO72" s="110"/>
      <c r="CP72" s="110"/>
      <c r="CQ72" s="110"/>
      <c r="CR72" s="110"/>
      <c r="CS72" s="110"/>
      <c r="CT72" s="110"/>
      <c r="CU72" s="110"/>
      <c r="CV72" s="110"/>
      <c r="CW72" s="110"/>
      <c r="CX72" s="110"/>
    </row>
    <row r="73" spans="1:102" s="64" customFormat="1" x14ac:dyDescent="0.3">
      <c r="A73" s="103"/>
      <c r="B73" s="110"/>
      <c r="C73" s="156"/>
      <c r="D73" s="110"/>
      <c r="E73" s="156"/>
      <c r="F73" s="156"/>
      <c r="G73" s="680">
        <v>17</v>
      </c>
      <c r="H73" s="681">
        <f t="shared" si="18"/>
        <v>46206.754166666666</v>
      </c>
      <c r="I73" s="218">
        <f t="shared" si="19"/>
        <v>272160</v>
      </c>
      <c r="J73" s="209">
        <f t="shared" si="20"/>
        <v>272160</v>
      </c>
      <c r="K73" s="210">
        <f t="shared" si="21"/>
        <v>272160</v>
      </c>
      <c r="L73" s="218">
        <f t="shared" si="22"/>
        <v>249852.11140860975</v>
      </c>
      <c r="M73" s="219">
        <f t="shared" si="23"/>
        <v>439789.47870709898</v>
      </c>
      <c r="N73" s="399"/>
      <c r="O73" s="209">
        <v>198261</v>
      </c>
      <c r="P73" s="209">
        <v>258252</v>
      </c>
      <c r="Q73" s="209">
        <v>228929</v>
      </c>
      <c r="R73" s="209">
        <v>281181.88</v>
      </c>
      <c r="S73" s="399">
        <v>268894</v>
      </c>
      <c r="T73" s="209">
        <v>284702</v>
      </c>
      <c r="U73" s="209">
        <v>286964</v>
      </c>
      <c r="V73" s="519">
        <v>63787</v>
      </c>
      <c r="W73" s="209">
        <v>174268</v>
      </c>
      <c r="X73" s="209">
        <v>109547</v>
      </c>
      <c r="Y73" s="210">
        <v>181054</v>
      </c>
      <c r="Z73" s="396">
        <v>86833</v>
      </c>
      <c r="AA73" s="397">
        <v>83940</v>
      </c>
      <c r="AB73" s="397">
        <v>23945</v>
      </c>
      <c r="AC73" s="211">
        <v>49387</v>
      </c>
      <c r="AD73" s="396">
        <v>44039</v>
      </c>
      <c r="AE73" s="397">
        <v>64258</v>
      </c>
      <c r="AF73" s="397"/>
      <c r="AG73" s="398">
        <v>439430</v>
      </c>
      <c r="AH73" s="41"/>
      <c r="AI73" s="41"/>
      <c r="AJ73" s="428"/>
      <c r="AK73" s="68">
        <v>17</v>
      </c>
      <c r="AL73" s="747">
        <f t="shared" si="24"/>
        <v>6</v>
      </c>
      <c r="AM73" s="401">
        <f t="shared" si="37"/>
        <v>46206</v>
      </c>
      <c r="AN73" s="55">
        <v>0.75416666666666665</v>
      </c>
      <c r="AO73" s="56">
        <f t="shared" si="25"/>
        <v>46206.754166666666</v>
      </c>
      <c r="AP73" s="57">
        <f t="shared" si="26"/>
        <v>17.004166666665697</v>
      </c>
      <c r="AQ73" s="57">
        <f t="shared" si="38"/>
        <v>1.0041666666656965</v>
      </c>
      <c r="AR73" s="65">
        <v>272160</v>
      </c>
      <c r="AS73" s="66">
        <v>1442</v>
      </c>
      <c r="AT73" s="466">
        <f t="shared" ref="AT73" si="163">AS73-AS72</f>
        <v>32</v>
      </c>
      <c r="AU73" s="60">
        <f t="shared" si="39"/>
        <v>5972</v>
      </c>
      <c r="AV73" s="60">
        <f t="shared" si="28"/>
        <v>16005.488850772783</v>
      </c>
      <c r="AW73" s="61">
        <f t="shared" si="29"/>
        <v>188.73786407766991</v>
      </c>
      <c r="AX73" s="62">
        <f t="shared" si="40"/>
        <v>186.625</v>
      </c>
      <c r="AY73" s="62">
        <f t="shared" si="124"/>
        <v>181.79187817258884</v>
      </c>
      <c r="AZ73" s="65">
        <f t="shared" ref="AZ73:AZ74" si="164">AR73</f>
        <v>272160</v>
      </c>
      <c r="BA73" s="66">
        <f t="shared" ref="BA73:BA74" si="165">AS73</f>
        <v>1442</v>
      </c>
      <c r="BB73" s="628">
        <f t="shared" ref="BB73:BB74" si="166">BA73-BA72</f>
        <v>32</v>
      </c>
      <c r="BC73" s="631">
        <f t="shared" ref="BC73:BC74" si="167">AZ73/BA73</f>
        <v>188.73786407766991</v>
      </c>
      <c r="BD73" s="60">
        <f t="shared" ref="BD73:BD74" si="168">AZ73-AZ72</f>
        <v>5972</v>
      </c>
      <c r="BE73" s="65">
        <f t="shared" ref="BE73:BE74" si="169">AR73</f>
        <v>272160</v>
      </c>
      <c r="BF73" s="66">
        <f t="shared" ref="BF73:BF74" si="170">AS73</f>
        <v>1442</v>
      </c>
      <c r="BG73" s="628">
        <f t="shared" ref="BG73:BG74" si="171">BF73-BF72</f>
        <v>32</v>
      </c>
      <c r="BH73" s="631">
        <f t="shared" ref="BH73:BH74" si="172">BE73/BF73</f>
        <v>188.73786407766991</v>
      </c>
      <c r="BI73" s="60">
        <f t="shared" si="48"/>
        <v>5972</v>
      </c>
      <c r="BJ73" s="828">
        <f>BJ72+(BI$79-$BJ$61)*Vergleich!AC99</f>
        <v>249852.11140860975</v>
      </c>
      <c r="BK73" s="60">
        <f t="shared" si="107"/>
        <v>19470.480891793995</v>
      </c>
      <c r="BL73" s="829">
        <f>ROUND(BL72+(BK$79-$BL$61)*Vergleich!AD99,)</f>
        <v>1272</v>
      </c>
      <c r="BM73" s="67">
        <f t="shared" si="108"/>
        <v>153</v>
      </c>
      <c r="BN73" s="828">
        <f>BN72+(BM$79-$BN$61)*Vergleich!N99</f>
        <v>439789.47870709898</v>
      </c>
      <c r="BO73" s="60">
        <f t="shared" si="109"/>
        <v>-154708.5951461189</v>
      </c>
      <c r="BP73" s="829">
        <f>ROUND(BP72+(BO$79-$BP$61)*Vergleich!O99,)</f>
        <v>2506</v>
      </c>
      <c r="BQ73" s="43">
        <f t="shared" si="110"/>
        <v>-1064</v>
      </c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110"/>
      <c r="CC73" s="110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  <c r="CN73" s="110"/>
      <c r="CO73" s="110"/>
      <c r="CP73" s="110"/>
      <c r="CQ73" s="110"/>
      <c r="CR73" s="110"/>
      <c r="CS73" s="110"/>
      <c r="CT73" s="110"/>
      <c r="CU73" s="110"/>
      <c r="CV73" s="110"/>
      <c r="CW73" s="110"/>
      <c r="CX73" s="110"/>
    </row>
    <row r="74" spans="1:102" s="64" customFormat="1" x14ac:dyDescent="0.3">
      <c r="A74" s="103"/>
      <c r="B74" s="110"/>
      <c r="C74" s="156"/>
      <c r="D74" s="110"/>
      <c r="E74" s="156"/>
      <c r="F74" s="156"/>
      <c r="G74" s="680">
        <v>18</v>
      </c>
      <c r="H74" s="681">
        <f t="shared" si="18"/>
        <v>46207.759722222225</v>
      </c>
      <c r="I74" s="218">
        <f t="shared" si="19"/>
        <v>278792</v>
      </c>
      <c r="J74" s="209">
        <f t="shared" si="20"/>
        <v>278792</v>
      </c>
      <c r="K74" s="210">
        <f t="shared" si="21"/>
        <v>278792</v>
      </c>
      <c r="L74" s="218">
        <f t="shared" si="22"/>
        <v>259199.15360755127</v>
      </c>
      <c r="M74" s="219">
        <f t="shared" si="23"/>
        <v>458156.82478259254</v>
      </c>
      <c r="N74" s="399"/>
      <c r="O74" s="209">
        <v>203119</v>
      </c>
      <c r="P74" s="209">
        <v>267342</v>
      </c>
      <c r="Q74" s="209">
        <v>237425</v>
      </c>
      <c r="R74" s="209">
        <v>290671.17</v>
      </c>
      <c r="S74" s="399">
        <v>280832</v>
      </c>
      <c r="T74" s="209">
        <v>294741</v>
      </c>
      <c r="U74" s="209">
        <v>298202</v>
      </c>
      <c r="V74" s="519">
        <v>66341</v>
      </c>
      <c r="W74" s="209">
        <v>180234</v>
      </c>
      <c r="X74" s="209">
        <v>115420</v>
      </c>
      <c r="Y74" s="210">
        <v>187527</v>
      </c>
      <c r="Z74" s="396">
        <v>91974</v>
      </c>
      <c r="AA74" s="397">
        <v>87091</v>
      </c>
      <c r="AB74" s="397">
        <v>25263</v>
      </c>
      <c r="AC74" s="211">
        <v>51996</v>
      </c>
      <c r="AD74" s="396">
        <v>46661</v>
      </c>
      <c r="AE74" s="397">
        <v>66749</v>
      </c>
      <c r="AF74" s="397"/>
      <c r="AG74" s="398">
        <v>454034</v>
      </c>
      <c r="AH74" s="41"/>
      <c r="AI74" s="41"/>
      <c r="AJ74" s="428"/>
      <c r="AK74" s="68">
        <v>18</v>
      </c>
      <c r="AL74" s="747">
        <f t="shared" si="24"/>
        <v>7</v>
      </c>
      <c r="AM74" s="401">
        <f t="shared" si="37"/>
        <v>46207</v>
      </c>
      <c r="AN74" s="55">
        <v>0.75972222222222219</v>
      </c>
      <c r="AO74" s="56">
        <f t="shared" si="25"/>
        <v>46207.759722222225</v>
      </c>
      <c r="AP74" s="57">
        <f t="shared" si="26"/>
        <v>18.009722222224809</v>
      </c>
      <c r="AQ74" s="57">
        <f t="shared" si="38"/>
        <v>1.0055555555591127</v>
      </c>
      <c r="AR74" s="65">
        <v>278792</v>
      </c>
      <c r="AS74" s="66">
        <v>1481</v>
      </c>
      <c r="AT74" s="466">
        <f t="shared" si="27"/>
        <v>39</v>
      </c>
      <c r="AU74" s="60">
        <f t="shared" si="39"/>
        <v>6632</v>
      </c>
      <c r="AV74" s="60">
        <f t="shared" si="28"/>
        <v>15480.08328834512</v>
      </c>
      <c r="AW74" s="61">
        <f t="shared" si="29"/>
        <v>188.2457798784605</v>
      </c>
      <c r="AX74" s="62">
        <f t="shared" si="40"/>
        <v>170.05128205128204</v>
      </c>
      <c r="AY74" s="62">
        <f t="shared" si="124"/>
        <v>177.34112149532712</v>
      </c>
      <c r="AZ74" s="65">
        <f t="shared" si="164"/>
        <v>278792</v>
      </c>
      <c r="BA74" s="66">
        <f t="shared" si="165"/>
        <v>1481</v>
      </c>
      <c r="BB74" s="628">
        <f t="shared" si="166"/>
        <v>39</v>
      </c>
      <c r="BC74" s="631">
        <f t="shared" si="167"/>
        <v>188.2457798784605</v>
      </c>
      <c r="BD74" s="60">
        <f t="shared" si="168"/>
        <v>6632</v>
      </c>
      <c r="BE74" s="65">
        <f t="shared" si="169"/>
        <v>278792</v>
      </c>
      <c r="BF74" s="66">
        <f t="shared" si="170"/>
        <v>1481</v>
      </c>
      <c r="BG74" s="628">
        <f t="shared" si="171"/>
        <v>39</v>
      </c>
      <c r="BH74" s="631">
        <f t="shared" si="172"/>
        <v>188.2457798784605</v>
      </c>
      <c r="BI74" s="60">
        <f t="shared" si="48"/>
        <v>6632</v>
      </c>
      <c r="BJ74" s="828">
        <f>BJ73+(BI$79-$BJ$61)*Vergleich!AC100</f>
        <v>259199.15360755127</v>
      </c>
      <c r="BK74" s="60">
        <f t="shared" si="107"/>
        <v>22307.888591390249</v>
      </c>
      <c r="BL74" s="829">
        <f>ROUND(BL73+(BK$79-$BL$61)*Vergleich!AD100,)</f>
        <v>1328</v>
      </c>
      <c r="BM74" s="67">
        <f t="shared" si="108"/>
        <v>170</v>
      </c>
      <c r="BN74" s="828">
        <f>BN73+(BM$79-$BN$61)*Vergleich!N100</f>
        <v>458156.82478259254</v>
      </c>
      <c r="BO74" s="60">
        <f t="shared" si="109"/>
        <v>-167629.47870709898</v>
      </c>
      <c r="BP74" s="829">
        <f>ROUND(BP73+(BO$79-$BP$61)*Vergleich!O100,)</f>
        <v>2621</v>
      </c>
      <c r="BQ74" s="43">
        <f t="shared" ref="BQ74:BQ76" si="173">AS74-BP74</f>
        <v>-1140</v>
      </c>
      <c r="BR74" s="110"/>
      <c r="BS74" s="110"/>
      <c r="BT74" s="110"/>
      <c r="BU74" s="110"/>
      <c r="BV74" s="110"/>
      <c r="BW74" s="110"/>
      <c r="BX74" s="110"/>
      <c r="BY74" s="110"/>
      <c r="BZ74" s="110"/>
      <c r="CA74" s="110"/>
      <c r="CB74" s="110"/>
      <c r="CC74" s="110"/>
      <c r="CD74" s="110"/>
      <c r="CE74" s="110"/>
      <c r="CF74" s="110"/>
      <c r="CG74" s="110"/>
      <c r="CH74" s="110"/>
      <c r="CI74" s="110"/>
      <c r="CJ74" s="110"/>
      <c r="CK74" s="110"/>
      <c r="CL74" s="110"/>
      <c r="CM74" s="110"/>
      <c r="CN74" s="110"/>
      <c r="CO74" s="110"/>
      <c r="CP74" s="110"/>
      <c r="CQ74" s="110"/>
      <c r="CR74" s="110"/>
      <c r="CS74" s="110"/>
      <c r="CT74" s="110"/>
      <c r="CU74" s="110"/>
      <c r="CV74" s="110"/>
      <c r="CW74" s="110"/>
      <c r="CX74" s="110"/>
    </row>
    <row r="75" spans="1:102" s="64" customFormat="1" x14ac:dyDescent="0.3">
      <c r="A75" s="103"/>
      <c r="B75" s="110"/>
      <c r="C75" s="156"/>
      <c r="D75" s="110"/>
      <c r="E75" s="156"/>
      <c r="F75" s="156"/>
      <c r="G75" s="680">
        <v>19</v>
      </c>
      <c r="H75" s="681">
        <f t="shared" si="18"/>
        <v>46208.75</v>
      </c>
      <c r="I75" s="218">
        <f t="shared" si="19"/>
        <v>285261</v>
      </c>
      <c r="J75" s="209">
        <f t="shared" si="20"/>
        <v>285261</v>
      </c>
      <c r="K75" s="210">
        <f t="shared" si="21"/>
        <v>285261</v>
      </c>
      <c r="L75" s="218">
        <f t="shared" si="22"/>
        <v>269446.85920502507</v>
      </c>
      <c r="M75" s="219">
        <f t="shared" si="23"/>
        <v>492437.74838623608</v>
      </c>
      <c r="N75" s="399"/>
      <c r="O75" s="209">
        <v>212186</v>
      </c>
      <c r="P75" s="209">
        <v>279921</v>
      </c>
      <c r="Q75" s="209">
        <v>252845</v>
      </c>
      <c r="R75" s="209">
        <v>300668.59000000003</v>
      </c>
      <c r="S75" s="399">
        <v>299641</v>
      </c>
      <c r="T75" s="209">
        <v>300262</v>
      </c>
      <c r="U75" s="209">
        <v>307874</v>
      </c>
      <c r="V75" s="519">
        <v>71736</v>
      </c>
      <c r="W75" s="209">
        <v>197561</v>
      </c>
      <c r="X75" s="209">
        <v>123542</v>
      </c>
      <c r="Y75" s="210">
        <v>197700</v>
      </c>
      <c r="Z75" s="396">
        <v>101170</v>
      </c>
      <c r="AA75" s="397">
        <v>91598</v>
      </c>
      <c r="AB75" s="397">
        <v>26708</v>
      </c>
      <c r="AC75" s="211">
        <v>55221</v>
      </c>
      <c r="AD75" s="396">
        <v>49576</v>
      </c>
      <c r="AE75" s="397">
        <v>71433</v>
      </c>
      <c r="AF75" s="397"/>
      <c r="AG75" s="398">
        <v>470532</v>
      </c>
      <c r="AH75" s="41"/>
      <c r="AI75" s="41"/>
      <c r="AJ75" s="428"/>
      <c r="AK75" s="68">
        <v>19</v>
      </c>
      <c r="AL75" s="747">
        <f t="shared" si="24"/>
        <v>1</v>
      </c>
      <c r="AM75" s="401">
        <f t="shared" si="37"/>
        <v>46208</v>
      </c>
      <c r="AN75" s="55">
        <v>0.75</v>
      </c>
      <c r="AO75" s="56">
        <f t="shared" si="25"/>
        <v>46208.75</v>
      </c>
      <c r="AP75" s="57">
        <f t="shared" si="26"/>
        <v>19</v>
      </c>
      <c r="AQ75" s="57">
        <f t="shared" si="38"/>
        <v>0.99027777777519077</v>
      </c>
      <c r="AR75" s="65">
        <v>285261</v>
      </c>
      <c r="AS75" s="66">
        <v>1516</v>
      </c>
      <c r="AT75" s="466">
        <f t="shared" si="27"/>
        <v>35</v>
      </c>
      <c r="AU75" s="60">
        <f t="shared" si="39"/>
        <v>6469</v>
      </c>
      <c r="AV75" s="60">
        <f t="shared" si="28"/>
        <v>15013.736842105263</v>
      </c>
      <c r="AW75" s="61">
        <f t="shared" si="29"/>
        <v>188.16688654353561</v>
      </c>
      <c r="AX75" s="62">
        <f t="shared" si="40"/>
        <v>184.82857142857142</v>
      </c>
      <c r="AY75" s="62">
        <f t="shared" si="124"/>
        <v>175.05940594059405</v>
      </c>
      <c r="AZ75" s="65">
        <f t="shared" ref="AZ75" si="174">AR75</f>
        <v>285261</v>
      </c>
      <c r="BA75" s="66">
        <f t="shared" ref="BA75" si="175">AS75</f>
        <v>1516</v>
      </c>
      <c r="BB75" s="628">
        <f t="shared" ref="BB75" si="176">BA75-BA74</f>
        <v>35</v>
      </c>
      <c r="BC75" s="631">
        <f t="shared" ref="BC75" si="177">AZ75/BA75</f>
        <v>188.16688654353561</v>
      </c>
      <c r="BD75" s="60">
        <f t="shared" ref="BD75" si="178">AZ75-AZ74</f>
        <v>6469</v>
      </c>
      <c r="BE75" s="65">
        <f t="shared" ref="BE75" si="179">AR75</f>
        <v>285261</v>
      </c>
      <c r="BF75" s="66">
        <f t="shared" ref="BF75" si="180">AS75</f>
        <v>1516</v>
      </c>
      <c r="BG75" s="628">
        <f t="shared" ref="BG75" si="181">BF75-BF74</f>
        <v>35</v>
      </c>
      <c r="BH75" s="631">
        <f t="shared" ref="BH75" si="182">BE75/BF75</f>
        <v>188.16688654353561</v>
      </c>
      <c r="BI75" s="60">
        <f t="shared" si="48"/>
        <v>6469</v>
      </c>
      <c r="BJ75" s="828">
        <f>BJ74+(BI$79-$BJ$61)*Vergleich!AC101</f>
        <v>269446.85920502507</v>
      </c>
      <c r="BK75" s="60">
        <f t="shared" si="107"/>
        <v>19592.84639244873</v>
      </c>
      <c r="BL75" s="829">
        <f>ROUND(BL74+(BK$79-$BL$61)*Vergleich!AD101,)</f>
        <v>1389</v>
      </c>
      <c r="BM75" s="67">
        <f t="shared" si="108"/>
        <v>153</v>
      </c>
      <c r="BN75" s="828">
        <f>BN74+(BM$79-$BN$61)*Vergleich!N101</f>
        <v>492437.74838623608</v>
      </c>
      <c r="BO75" s="60">
        <f t="shared" si="109"/>
        <v>-179364.82478259254</v>
      </c>
      <c r="BP75" s="829">
        <f>ROUND(BP74+(BO$79-$BP$61)*Vergleich!O101,)</f>
        <v>2832</v>
      </c>
      <c r="BQ75" s="43">
        <f t="shared" si="173"/>
        <v>-1316</v>
      </c>
      <c r="BR75" s="110"/>
      <c r="BS75" s="110"/>
      <c r="BT75" s="110"/>
      <c r="BU75" s="110"/>
      <c r="BV75" s="110"/>
      <c r="BW75" s="110"/>
      <c r="BX75" s="110"/>
      <c r="BY75" s="110"/>
      <c r="BZ75" s="110"/>
      <c r="CA75" s="110"/>
      <c r="CB75" s="110"/>
      <c r="CC75" s="110"/>
      <c r="CD75" s="110"/>
      <c r="CE75" s="110"/>
      <c r="CF75" s="110"/>
      <c r="CG75" s="110"/>
      <c r="CH75" s="110"/>
      <c r="CI75" s="110"/>
      <c r="CJ75" s="110"/>
      <c r="CK75" s="110"/>
      <c r="CL75" s="110"/>
      <c r="CM75" s="110"/>
      <c r="CN75" s="110"/>
      <c r="CO75" s="110"/>
      <c r="CP75" s="110"/>
      <c r="CQ75" s="110"/>
      <c r="CR75" s="110"/>
      <c r="CS75" s="110"/>
      <c r="CT75" s="110"/>
      <c r="CU75" s="110"/>
      <c r="CV75" s="110"/>
      <c r="CW75" s="110"/>
      <c r="CX75" s="110"/>
    </row>
    <row r="76" spans="1:102" s="64" customFormat="1" ht="15.75" thickBot="1" x14ac:dyDescent="0.35">
      <c r="A76" s="103"/>
      <c r="B76" s="110"/>
      <c r="C76" s="156"/>
      <c r="D76" s="110"/>
      <c r="E76" s="156"/>
      <c r="F76" s="156"/>
      <c r="G76" s="680">
        <v>20</v>
      </c>
      <c r="H76" s="681">
        <f t="shared" si="18"/>
        <v>46209.75</v>
      </c>
      <c r="I76" s="218">
        <f t="shared" si="19"/>
        <v>301845</v>
      </c>
      <c r="J76" s="209">
        <f t="shared" si="20"/>
        <v>301845</v>
      </c>
      <c r="K76" s="210">
        <f t="shared" si="21"/>
        <v>301845</v>
      </c>
      <c r="L76" s="218">
        <f t="shared" si="22"/>
        <v>293771.86280318088</v>
      </c>
      <c r="M76" s="219">
        <f t="shared" si="23"/>
        <v>525372.69109179883</v>
      </c>
      <c r="N76" s="399"/>
      <c r="O76" s="209">
        <v>220897</v>
      </c>
      <c r="P76" s="209">
        <v>295660</v>
      </c>
      <c r="Q76" s="209">
        <v>273235</v>
      </c>
      <c r="R76" s="209">
        <v>314352.75</v>
      </c>
      <c r="S76" s="399">
        <v>330836</v>
      </c>
      <c r="T76" s="209">
        <v>321230</v>
      </c>
      <c r="U76" s="209">
        <v>324153</v>
      </c>
      <c r="V76" s="519">
        <v>76619</v>
      </c>
      <c r="W76" s="209">
        <v>214259</v>
      </c>
      <c r="X76" s="209">
        <v>130324</v>
      </c>
      <c r="Y76" s="210">
        <v>205967</v>
      </c>
      <c r="Z76" s="396">
        <v>108862</v>
      </c>
      <c r="AA76" s="397">
        <v>99702</v>
      </c>
      <c r="AB76" s="397">
        <v>30138</v>
      </c>
      <c r="AC76" s="211">
        <v>58568</v>
      </c>
      <c r="AD76" s="396">
        <v>54612</v>
      </c>
      <c r="AE76" s="397">
        <v>78993</v>
      </c>
      <c r="AF76" s="397"/>
      <c r="AG76" s="398">
        <v>507150</v>
      </c>
      <c r="AH76" s="41"/>
      <c r="AI76" s="41"/>
      <c r="AJ76" s="428"/>
      <c r="AK76" s="68">
        <v>20</v>
      </c>
      <c r="AL76" s="747">
        <f t="shared" si="24"/>
        <v>2</v>
      </c>
      <c r="AM76" s="401">
        <f t="shared" si="37"/>
        <v>46209</v>
      </c>
      <c r="AN76" s="55">
        <v>0.75</v>
      </c>
      <c r="AO76" s="56">
        <f t="shared" si="25"/>
        <v>46209.75</v>
      </c>
      <c r="AP76" s="57">
        <f t="shared" si="26"/>
        <v>20</v>
      </c>
      <c r="AQ76" s="57">
        <f t="shared" si="38"/>
        <v>1</v>
      </c>
      <c r="AR76" s="65">
        <v>301845</v>
      </c>
      <c r="AS76" s="66">
        <v>1607</v>
      </c>
      <c r="AT76" s="466">
        <f t="shared" si="27"/>
        <v>91</v>
      </c>
      <c r="AU76" s="60">
        <f t="shared" si="39"/>
        <v>16584</v>
      </c>
      <c r="AV76" s="60">
        <f t="shared" si="28"/>
        <v>15092.25</v>
      </c>
      <c r="AW76" s="61">
        <f t="shared" si="29"/>
        <v>187.83136278780336</v>
      </c>
      <c r="AX76" s="62">
        <f t="shared" si="40"/>
        <v>182.24175824175825</v>
      </c>
      <c r="AY76" s="62">
        <f t="shared" si="124"/>
        <v>179.9047619047619</v>
      </c>
      <c r="AZ76" s="65">
        <f t="shared" ref="AZ76" si="183">AR76</f>
        <v>301845</v>
      </c>
      <c r="BA76" s="66">
        <f t="shared" ref="BA76" si="184">AS76</f>
        <v>1607</v>
      </c>
      <c r="BB76" s="628">
        <f t="shared" ref="BB76" si="185">BA76-BA75</f>
        <v>91</v>
      </c>
      <c r="BC76" s="631">
        <f t="shared" ref="BC76" si="186">AZ76/BA76</f>
        <v>187.83136278780336</v>
      </c>
      <c r="BD76" s="60">
        <f t="shared" ref="BD76" si="187">AZ76-AZ75</f>
        <v>16584</v>
      </c>
      <c r="BE76" s="65">
        <f t="shared" ref="BE76" si="188">AR76</f>
        <v>301845</v>
      </c>
      <c r="BF76" s="66">
        <f t="shared" ref="BF76" si="189">AS76</f>
        <v>1607</v>
      </c>
      <c r="BG76" s="628">
        <f t="shared" ref="BG76" si="190">BF76-BF75</f>
        <v>91</v>
      </c>
      <c r="BH76" s="631">
        <f t="shared" ref="BH76" si="191">BE76/BF76</f>
        <v>187.83136278780336</v>
      </c>
      <c r="BI76" s="60">
        <f t="shared" si="48"/>
        <v>16584</v>
      </c>
      <c r="BJ76" s="828">
        <f>BJ75+(BI$79-$BJ$61)*Vergleich!AC102</f>
        <v>293771.86280318088</v>
      </c>
      <c r="BK76" s="60">
        <f t="shared" si="107"/>
        <v>15814.140794974926</v>
      </c>
      <c r="BL76" s="829">
        <f>ROUND(BL75+(BK$79-$BL$61)*Vergleich!AD102,)</f>
        <v>1537</v>
      </c>
      <c r="BM76" s="67">
        <f t="shared" si="108"/>
        <v>127</v>
      </c>
      <c r="BN76" s="828">
        <f>BN75+(BM$79-$BN$61)*Vergleich!N102</f>
        <v>525372.69109179883</v>
      </c>
      <c r="BO76" s="60">
        <f t="shared" si="109"/>
        <v>-207176.74838623608</v>
      </c>
      <c r="BP76" s="829">
        <f>ROUND(BP75+(BO$79-$BP$61)*Vergleich!O102,)</f>
        <v>3036</v>
      </c>
      <c r="BQ76" s="43">
        <f t="shared" si="173"/>
        <v>-1429</v>
      </c>
      <c r="BR76" s="110"/>
      <c r="BS76" s="110"/>
      <c r="BT76" s="110"/>
      <c r="BU76" s="110"/>
      <c r="BV76" s="110"/>
      <c r="BW76" s="110"/>
      <c r="BX76" s="110"/>
      <c r="BY76" s="110"/>
      <c r="BZ76" s="110"/>
      <c r="CA76" s="110"/>
      <c r="CB76" s="110"/>
      <c r="CC76" s="110"/>
      <c r="CD76" s="110"/>
      <c r="CE76" s="110"/>
      <c r="CF76" s="110"/>
      <c r="CG76" s="110"/>
      <c r="CH76" s="110"/>
      <c r="CI76" s="110"/>
      <c r="CJ76" s="110"/>
      <c r="CK76" s="110"/>
      <c r="CL76" s="110"/>
      <c r="CM76" s="110"/>
      <c r="CN76" s="110"/>
      <c r="CO76" s="110"/>
      <c r="CP76" s="110"/>
      <c r="CQ76" s="110"/>
      <c r="CR76" s="110"/>
      <c r="CS76" s="110"/>
      <c r="CT76" s="110"/>
      <c r="CU76" s="110"/>
      <c r="CV76" s="110"/>
      <c r="CW76" s="110"/>
      <c r="CX76" s="110"/>
    </row>
    <row r="77" spans="1:102" s="80" customFormat="1" ht="15.75" thickBot="1" x14ac:dyDescent="0.35">
      <c r="A77" s="104"/>
      <c r="B77" s="105"/>
      <c r="C77" s="157"/>
      <c r="D77" s="105"/>
      <c r="E77" s="157"/>
      <c r="F77" s="157"/>
      <c r="G77" s="680">
        <v>21</v>
      </c>
      <c r="H77" s="681">
        <f t="shared" si="18"/>
        <v>46210.75</v>
      </c>
      <c r="I77" s="716">
        <f t="shared" si="19"/>
        <v>331726.15999999997</v>
      </c>
      <c r="J77" s="713">
        <f t="shared" si="20"/>
        <v>331726.15999999997</v>
      </c>
      <c r="K77" s="714">
        <f t="shared" si="21"/>
        <v>331726.15999999997</v>
      </c>
      <c r="L77" s="715">
        <f t="shared" si="22"/>
        <v>337102.99166170333</v>
      </c>
      <c r="M77" s="714">
        <f>BM79</f>
        <v>594108.45717917487</v>
      </c>
      <c r="N77" s="716">
        <v>266116</v>
      </c>
      <c r="O77" s="717">
        <v>239077</v>
      </c>
      <c r="P77" s="718">
        <v>324435</v>
      </c>
      <c r="Q77" s="719">
        <v>307649</v>
      </c>
      <c r="R77" s="720">
        <v>342006.6</v>
      </c>
      <c r="S77" s="721">
        <v>390507</v>
      </c>
      <c r="T77" s="799">
        <v>357094.74</v>
      </c>
      <c r="U77" s="793">
        <v>348187.54</v>
      </c>
      <c r="V77" s="722">
        <v>84047</v>
      </c>
      <c r="W77" s="723">
        <v>249219</v>
      </c>
      <c r="X77" s="724">
        <v>170701</v>
      </c>
      <c r="Y77" s="725">
        <v>231430</v>
      </c>
      <c r="Z77" s="372">
        <v>123694</v>
      </c>
      <c r="AA77" s="297">
        <v>115113</v>
      </c>
      <c r="AB77" s="297">
        <v>36248</v>
      </c>
      <c r="AC77" s="411">
        <v>62627</v>
      </c>
      <c r="AD77" s="372">
        <v>62345</v>
      </c>
      <c r="AE77" s="297">
        <v>89991</v>
      </c>
      <c r="AF77" s="297">
        <v>58410</v>
      </c>
      <c r="AG77" s="673">
        <v>560576.43999999994</v>
      </c>
      <c r="AH77" s="69"/>
      <c r="AI77" s="69"/>
      <c r="AJ77" s="429"/>
      <c r="AK77" s="68">
        <v>21</v>
      </c>
      <c r="AL77" s="830">
        <f t="shared" si="24"/>
        <v>3</v>
      </c>
      <c r="AM77" s="288">
        <f t="shared" si="37"/>
        <v>46210</v>
      </c>
      <c r="AN77" s="55">
        <v>0.75</v>
      </c>
      <c r="AO77" s="56">
        <f t="shared" si="25"/>
        <v>46210.75</v>
      </c>
      <c r="AP77" s="57">
        <f t="shared" si="26"/>
        <v>21</v>
      </c>
      <c r="AQ77" s="57">
        <f t="shared" si="38"/>
        <v>1</v>
      </c>
      <c r="AR77" s="65">
        <v>331726.15999999997</v>
      </c>
      <c r="AS77" s="66">
        <v>1770</v>
      </c>
      <c r="AT77" s="466">
        <f t="shared" si="27"/>
        <v>163</v>
      </c>
      <c r="AU77" s="60">
        <f t="shared" si="39"/>
        <v>29881.159999999974</v>
      </c>
      <c r="AV77" s="60">
        <f t="shared" si="28"/>
        <v>15796.483809523808</v>
      </c>
      <c r="AW77" s="61">
        <f t="shared" si="29"/>
        <v>187.41590960451975</v>
      </c>
      <c r="AX77" s="62">
        <f t="shared" si="40"/>
        <v>183.31999999999985</v>
      </c>
      <c r="AY77" s="62">
        <f t="shared" si="124"/>
        <v>182.05044444444437</v>
      </c>
      <c r="AZ77" s="65">
        <f t="shared" ref="AZ77" si="192">AR77</f>
        <v>331726.15999999997</v>
      </c>
      <c r="BA77" s="66">
        <f t="shared" ref="BA77" si="193">AS77</f>
        <v>1770</v>
      </c>
      <c r="BB77" s="628">
        <f t="shared" ref="BB77" si="194">BA77-BA76</f>
        <v>163</v>
      </c>
      <c r="BC77" s="631">
        <f t="shared" ref="BC77" si="195">AZ77/BA77</f>
        <v>187.41590960451975</v>
      </c>
      <c r="BD77" s="60">
        <f t="shared" ref="BD77" si="196">AZ77-AZ76</f>
        <v>29881.159999999974</v>
      </c>
      <c r="BE77" s="65">
        <f t="shared" ref="BE77" si="197">AR77</f>
        <v>331726.15999999997</v>
      </c>
      <c r="BF77" s="66">
        <f t="shared" ref="BF77" si="198">AS77</f>
        <v>1770</v>
      </c>
      <c r="BG77" s="628">
        <f t="shared" ref="BG77" si="199">BF77-BF76</f>
        <v>163</v>
      </c>
      <c r="BH77" s="631">
        <f t="shared" ref="BH77" si="200">BE77/BF77</f>
        <v>187.41590960451975</v>
      </c>
      <c r="BI77" s="60">
        <f t="shared" si="48"/>
        <v>29881.159999999974</v>
      </c>
      <c r="BJ77" s="828">
        <f>BJ76+(BI$79-$BJ$61)*Vergleich!AC103</f>
        <v>337102.99166170333</v>
      </c>
      <c r="BK77" s="60">
        <f t="shared" si="107"/>
        <v>8073.1371968191233</v>
      </c>
      <c r="BL77" s="829">
        <f>ROUND(BL76+(BK$79-$BL$61)*Vergleich!AD103,)</f>
        <v>1751</v>
      </c>
      <c r="BM77" s="67">
        <f t="shared" si="108"/>
        <v>70</v>
      </c>
      <c r="BN77" s="828">
        <f>BN76+(BM$79-$BN$61)*Vergleich!N103</f>
        <v>594108.45717917487</v>
      </c>
      <c r="BO77" s="60">
        <f t="shared" si="109"/>
        <v>-223527.69109179883</v>
      </c>
      <c r="BP77" s="829">
        <f>ROUND(BP76+(BO$79-$BP$61)*Vergleich!O103,)</f>
        <v>3428</v>
      </c>
      <c r="BQ77" s="43">
        <f>AS77-BP77</f>
        <v>-1658</v>
      </c>
      <c r="BR77" s="105"/>
      <c r="BS77" s="105"/>
      <c r="BT77" s="105"/>
      <c r="BU77" s="105"/>
      <c r="BV77" s="105"/>
      <c r="BW77" s="105"/>
      <c r="BX77" s="105"/>
      <c r="BY77" s="105"/>
      <c r="BZ77" s="105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5"/>
      <c r="CM77" s="105"/>
      <c r="CN77" s="105"/>
      <c r="CO77" s="105"/>
      <c r="CP77" s="105"/>
      <c r="CQ77" s="105"/>
      <c r="CR77" s="105"/>
      <c r="CS77" s="105"/>
      <c r="CT77" s="105"/>
      <c r="CU77" s="105"/>
      <c r="CV77" s="105"/>
      <c r="CW77" s="105"/>
      <c r="CX77" s="105"/>
    </row>
    <row r="78" spans="1:102" s="80" customFormat="1" ht="15.75" thickBot="1" x14ac:dyDescent="0.35">
      <c r="A78" s="104"/>
      <c r="B78" s="105"/>
      <c r="C78" s="157"/>
      <c r="D78" s="105"/>
      <c r="E78" s="157"/>
      <c r="F78" s="157"/>
      <c r="G78" s="726" t="s">
        <v>426</v>
      </c>
      <c r="H78" s="727"/>
      <c r="I78" s="728"/>
      <c r="J78" s="729"/>
      <c r="K78" s="730"/>
      <c r="L78" s="731"/>
      <c r="M78" s="732"/>
      <c r="N78" s="733"/>
      <c r="O78" s="657"/>
      <c r="P78" s="695"/>
      <c r="Q78" s="695"/>
      <c r="R78" s="761">
        <v>356763</v>
      </c>
      <c r="S78" s="662"/>
      <c r="T78" s="800">
        <v>389110</v>
      </c>
      <c r="U78" s="794">
        <v>362463</v>
      </c>
      <c r="V78" s="695"/>
      <c r="W78" s="657"/>
      <c r="X78" s="657"/>
      <c r="Y78" s="658"/>
      <c r="Z78" s="695"/>
      <c r="AA78" s="695"/>
      <c r="AB78" s="695"/>
      <c r="AC78" s="658"/>
      <c r="AD78" s="733"/>
      <c r="AE78" s="657"/>
      <c r="AF78" s="657"/>
      <c r="AG78" s="776">
        <v>646349</v>
      </c>
      <c r="AH78" s="69"/>
      <c r="AI78" s="430"/>
      <c r="AJ78" s="70"/>
      <c r="AK78" s="71"/>
      <c r="AL78" s="72"/>
      <c r="AM78" s="73"/>
      <c r="AN78" s="74"/>
      <c r="AO78" s="75"/>
      <c r="AP78" s="75"/>
      <c r="AQ78" s="78"/>
      <c r="AR78" s="86"/>
      <c r="AS78" s="86"/>
      <c r="AT78" s="86"/>
      <c r="AU78" s="86"/>
      <c r="AV78" s="78"/>
      <c r="AW78" s="86"/>
      <c r="AX78" s="86"/>
      <c r="AY78" s="86"/>
      <c r="AZ78" s="76">
        <f>AZ77/BA77</f>
        <v>187.41590960451975</v>
      </c>
      <c r="BA78" s="86"/>
      <c r="BB78" s="86"/>
      <c r="BC78" s="86"/>
      <c r="BD78" s="86"/>
      <c r="BE78" s="86"/>
      <c r="BF78" s="86"/>
      <c r="BG78" s="86"/>
      <c r="BH78" s="76">
        <f>BE77/BF77</f>
        <v>187.41590960451975</v>
      </c>
      <c r="BI78" s="86"/>
      <c r="BJ78" s="76">
        <f>BJ77/BL77</f>
        <v>192.52026936704931</v>
      </c>
      <c r="BK78" s="76"/>
      <c r="BL78" s="48"/>
      <c r="BM78" s="48"/>
      <c r="BN78" s="76">
        <f>BN77/BP77</f>
        <v>173.31051843033106</v>
      </c>
      <c r="BO78" s="79"/>
      <c r="BP78" s="48"/>
      <c r="BQ78" s="78"/>
      <c r="BR78" s="105"/>
      <c r="BS78" s="105"/>
      <c r="BT78" s="105"/>
      <c r="BU78" s="105"/>
      <c r="BV78" s="105"/>
      <c r="BW78" s="105"/>
      <c r="BX78" s="105"/>
      <c r="BY78" s="105"/>
      <c r="BZ78" s="105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5"/>
      <c r="CM78" s="105"/>
      <c r="CN78" s="105"/>
      <c r="CO78" s="105"/>
      <c r="CP78" s="105"/>
      <c r="CQ78" s="105"/>
      <c r="CR78" s="105"/>
      <c r="CS78" s="105"/>
      <c r="CT78" s="105"/>
      <c r="CU78" s="105"/>
      <c r="CV78" s="105"/>
      <c r="CW78" s="105"/>
      <c r="CX78" s="105"/>
    </row>
    <row r="79" spans="1:102" s="80" customFormat="1" ht="15.75" thickBot="1" x14ac:dyDescent="0.35">
      <c r="A79" s="104"/>
      <c r="B79" s="105"/>
      <c r="C79" s="157"/>
      <c r="D79" s="105"/>
      <c r="E79" s="157"/>
      <c r="F79" s="157"/>
      <c r="G79" s="109"/>
      <c r="H79" s="128"/>
      <c r="I79" s="212"/>
      <c r="J79" s="124"/>
      <c r="K79" s="211"/>
      <c r="L79" s="220"/>
      <c r="M79" s="221"/>
      <c r="N79" s="223"/>
      <c r="O79" s="410"/>
      <c r="P79" s="410"/>
      <c r="Q79" s="227"/>
      <c r="R79" s="227"/>
      <c r="S79" s="321"/>
      <c r="T79" s="227"/>
      <c r="U79" s="227"/>
      <c r="V79" s="227"/>
      <c r="W79" s="410"/>
      <c r="X79" s="410"/>
      <c r="Y79" s="294"/>
      <c r="Z79" s="227"/>
      <c r="AA79" s="227"/>
      <c r="AB79" s="227"/>
      <c r="AC79" s="294"/>
      <c r="AD79" s="223"/>
      <c r="AE79" s="410"/>
      <c r="AF79" s="410"/>
      <c r="AG79" s="294"/>
      <c r="AH79" s="69"/>
      <c r="AI79" s="430"/>
      <c r="AJ79" s="70"/>
      <c r="AK79" s="71"/>
      <c r="AL79" s="72"/>
      <c r="AM79" s="73"/>
      <c r="AN79" s="74"/>
      <c r="AO79" s="75"/>
      <c r="AP79" s="75"/>
      <c r="AQ79" s="78"/>
      <c r="AR79" s="86"/>
      <c r="AS79" s="86"/>
      <c r="AT79" s="86"/>
      <c r="AU79" s="86"/>
      <c r="AV79" s="78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268" t="s">
        <v>181</v>
      </c>
      <c r="BI79" s="289">
        <f>Vergleich!BR13</f>
        <v>337102.99166170339</v>
      </c>
      <c r="BJ79" s="289"/>
      <c r="BK79" s="291">
        <f>Vergleich!BS13</f>
        <v>1751.7755331088663</v>
      </c>
      <c r="BL79" s="290"/>
      <c r="BM79" s="292">
        <f>Vergleich!BU13</f>
        <v>594108.45717917487</v>
      </c>
      <c r="BN79" s="292"/>
      <c r="BO79" s="322">
        <f>Vergleich!BV13</f>
        <v>3426.1684210526314</v>
      </c>
      <c r="BP79" s="323"/>
      <c r="BQ79" s="78"/>
      <c r="BR79" s="105"/>
      <c r="BS79" s="105"/>
      <c r="BT79" s="105"/>
      <c r="BU79" s="105"/>
      <c r="BV79" s="105"/>
      <c r="BW79" s="105"/>
      <c r="BX79" s="105"/>
      <c r="BY79" s="105"/>
      <c r="BZ79" s="105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5"/>
      <c r="CM79" s="105"/>
      <c r="CN79" s="105"/>
      <c r="CO79" s="105"/>
      <c r="CP79" s="105"/>
      <c r="CQ79" s="105"/>
      <c r="CR79" s="105"/>
      <c r="CS79" s="105"/>
      <c r="CT79" s="105"/>
      <c r="CU79" s="105"/>
      <c r="CV79" s="105"/>
      <c r="CW79" s="105"/>
      <c r="CX79" s="105"/>
    </row>
    <row r="80" spans="1:102" s="80" customFormat="1" x14ac:dyDescent="0.3">
      <c r="A80" s="104"/>
      <c r="B80" s="105"/>
      <c r="C80" s="157"/>
      <c r="D80" s="105"/>
      <c r="E80" s="157"/>
      <c r="F80" s="157"/>
      <c r="G80" s="109"/>
      <c r="H80" s="128"/>
      <c r="I80" s="212"/>
      <c r="J80" s="124"/>
      <c r="K80" s="211"/>
      <c r="L80" s="220"/>
      <c r="M80" s="221"/>
      <c r="N80" s="223"/>
      <c r="O80" s="410"/>
      <c r="P80" s="410"/>
      <c r="Q80" s="227"/>
      <c r="R80" s="227"/>
      <c r="S80" s="321"/>
      <c r="T80" s="227"/>
      <c r="U80" s="227"/>
      <c r="V80" s="227"/>
      <c r="W80" s="410"/>
      <c r="X80" s="410"/>
      <c r="Y80" s="294"/>
      <c r="Z80" s="227"/>
      <c r="AA80" s="227"/>
      <c r="AB80" s="227"/>
      <c r="AC80" s="294"/>
      <c r="AD80" s="223"/>
      <c r="AE80" s="410"/>
      <c r="AF80" s="410"/>
      <c r="AG80" s="294"/>
      <c r="AH80" s="69"/>
      <c r="AI80" s="430"/>
      <c r="AJ80" s="70"/>
      <c r="AK80" s="71"/>
      <c r="AL80" s="72"/>
      <c r="AM80" s="73"/>
      <c r="AN80" s="74"/>
      <c r="AO80" s="75"/>
      <c r="AP80" s="75"/>
      <c r="AQ80" s="78"/>
      <c r="AR80" s="86"/>
      <c r="AS80" s="86"/>
      <c r="AT80" s="86"/>
      <c r="AU80" s="86"/>
      <c r="AV80" s="78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505" t="s">
        <v>189</v>
      </c>
      <c r="BJ80" s="505"/>
      <c r="BK80" s="505"/>
      <c r="BL80" s="505"/>
      <c r="BM80" s="505" t="s">
        <v>190</v>
      </c>
      <c r="BN80" s="505"/>
      <c r="BO80" s="505"/>
      <c r="BP80" s="505"/>
      <c r="BQ80" s="78"/>
      <c r="BR80" s="105"/>
      <c r="BS80" s="105"/>
      <c r="BT80" s="105"/>
      <c r="BU80" s="105"/>
      <c r="BV80" s="105"/>
      <c r="BW80" s="105"/>
      <c r="BX80" s="105"/>
      <c r="BY80" s="105"/>
      <c r="BZ80" s="105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5"/>
      <c r="CM80" s="105"/>
      <c r="CN80" s="105"/>
      <c r="CO80" s="105"/>
      <c r="CP80" s="105"/>
      <c r="CQ80" s="105"/>
      <c r="CR80" s="105"/>
      <c r="CS80" s="105"/>
      <c r="CT80" s="105"/>
      <c r="CU80" s="105"/>
      <c r="CV80" s="105"/>
      <c r="CW80" s="105"/>
      <c r="CX80" s="105"/>
    </row>
    <row r="81" spans="1:102" s="80" customFormat="1" x14ac:dyDescent="0.3">
      <c r="A81" s="104"/>
      <c r="B81" s="105"/>
      <c r="C81" s="157"/>
      <c r="D81" s="105"/>
      <c r="E81" s="157"/>
      <c r="F81" s="157"/>
      <c r="G81" s="109"/>
      <c r="H81" s="128"/>
      <c r="I81" s="212"/>
      <c r="J81" s="124"/>
      <c r="K81" s="211"/>
      <c r="L81" s="220"/>
      <c r="M81" s="221"/>
      <c r="N81" s="223"/>
      <c r="O81" s="410"/>
      <c r="P81" s="410"/>
      <c r="Q81" s="227"/>
      <c r="R81" s="227"/>
      <c r="S81" s="321"/>
      <c r="T81" s="227"/>
      <c r="U81" s="227"/>
      <c r="V81" s="227"/>
      <c r="W81" s="410"/>
      <c r="X81" s="410"/>
      <c r="Y81" s="294"/>
      <c r="Z81" s="227"/>
      <c r="AA81" s="227"/>
      <c r="AB81" s="227"/>
      <c r="AC81" s="294"/>
      <c r="AD81" s="223"/>
      <c r="AE81" s="410"/>
      <c r="AF81" s="410"/>
      <c r="AG81" s="294"/>
      <c r="AH81" s="69"/>
      <c r="AI81" s="430"/>
      <c r="AJ81" s="70"/>
      <c r="AK81" s="71"/>
      <c r="AL81" s="72"/>
      <c r="AM81" s="73"/>
      <c r="AN81" s="74"/>
      <c r="AO81" s="75"/>
      <c r="AP81" s="75"/>
      <c r="AQ81" s="78"/>
      <c r="AR81" s="86"/>
      <c r="AS81" s="86"/>
      <c r="AT81" s="86"/>
      <c r="AU81" s="86"/>
      <c r="AV81" s="78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471"/>
      <c r="BH81" s="819" t="s">
        <v>659</v>
      </c>
      <c r="BI81" s="819">
        <f>BI79-BJ77</f>
        <v>0</v>
      </c>
      <c r="BJ81" s="820"/>
      <c r="BK81" s="819">
        <f>BK79-BL77</f>
        <v>0.77553310886628424</v>
      </c>
      <c r="BL81" s="820"/>
      <c r="BM81" s="819">
        <f>BM79-BN77</f>
        <v>0</v>
      </c>
      <c r="BN81" s="820"/>
      <c r="BO81" s="819">
        <f>BO79-BP77</f>
        <v>-1.8315789473685982</v>
      </c>
      <c r="BP81" s="820"/>
      <c r="BQ81" s="821"/>
      <c r="BR81" s="105"/>
      <c r="BS81" s="105"/>
      <c r="BT81" s="105"/>
      <c r="BU81" s="105"/>
      <c r="BV81" s="105"/>
      <c r="BW81" s="105"/>
      <c r="BX81" s="105"/>
      <c r="BY81" s="105"/>
      <c r="BZ81" s="105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5"/>
      <c r="CM81" s="105"/>
      <c r="CN81" s="105"/>
      <c r="CO81" s="105"/>
      <c r="CP81" s="105"/>
      <c r="CQ81" s="105"/>
      <c r="CR81" s="105"/>
      <c r="CS81" s="105"/>
      <c r="CT81" s="105"/>
      <c r="CU81" s="105"/>
      <c r="CV81" s="105"/>
      <c r="CW81" s="105"/>
      <c r="CX81" s="105"/>
    </row>
    <row r="82" spans="1:102" s="80" customFormat="1" x14ac:dyDescent="0.3">
      <c r="A82" s="104"/>
      <c r="B82" s="105"/>
      <c r="C82" s="157"/>
      <c r="D82" s="105"/>
      <c r="E82" s="157"/>
      <c r="F82" s="157"/>
      <c r="G82" s="109"/>
      <c r="H82" s="128"/>
      <c r="I82" s="212"/>
      <c r="J82" s="124"/>
      <c r="K82" s="211"/>
      <c r="L82" s="220"/>
      <c r="M82" s="221"/>
      <c r="N82" s="223"/>
      <c r="O82" s="410"/>
      <c r="P82" s="410"/>
      <c r="Q82" s="227"/>
      <c r="R82" s="227"/>
      <c r="S82" s="321"/>
      <c r="T82" s="227"/>
      <c r="U82" s="227"/>
      <c r="V82" s="227"/>
      <c r="W82" s="410"/>
      <c r="X82" s="410"/>
      <c r="Y82" s="294"/>
      <c r="Z82" s="227"/>
      <c r="AA82" s="227"/>
      <c r="AB82" s="227"/>
      <c r="AC82" s="294"/>
      <c r="AD82" s="223"/>
      <c r="AE82" s="410"/>
      <c r="AF82" s="410"/>
      <c r="AG82" s="294"/>
      <c r="AH82" s="69"/>
      <c r="AI82" s="430"/>
      <c r="AJ82" s="70"/>
      <c r="AK82" s="71"/>
      <c r="AL82" s="72"/>
      <c r="AM82" s="73"/>
      <c r="AN82" s="74"/>
      <c r="AO82" s="75"/>
      <c r="AP82" s="75"/>
      <c r="AQ82" s="78"/>
      <c r="AR82" s="86"/>
      <c r="AS82" s="86"/>
      <c r="AT82" s="86"/>
      <c r="AU82" s="86"/>
      <c r="AV82" s="78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471"/>
      <c r="BK82" s="471"/>
      <c r="BL82" s="471"/>
      <c r="BM82" s="471"/>
      <c r="BN82" s="471"/>
      <c r="BO82" s="471"/>
      <c r="BP82" s="471"/>
      <c r="BQ82" s="78"/>
      <c r="BR82" s="105"/>
      <c r="BS82" s="105"/>
      <c r="BT82" s="105"/>
      <c r="BU82" s="105"/>
      <c r="BV82" s="105"/>
      <c r="BW82" s="105"/>
      <c r="BX82" s="105"/>
      <c r="BY82" s="105"/>
      <c r="BZ82" s="105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5"/>
      <c r="CM82" s="105"/>
      <c r="CN82" s="105"/>
      <c r="CO82" s="105"/>
      <c r="CP82" s="105"/>
      <c r="CQ82" s="105"/>
      <c r="CR82" s="105"/>
      <c r="CS82" s="105"/>
      <c r="CT82" s="105"/>
      <c r="CU82" s="105"/>
      <c r="CV82" s="105"/>
      <c r="CW82" s="105"/>
      <c r="CX82" s="105"/>
    </row>
    <row r="83" spans="1:102" s="80" customFormat="1" x14ac:dyDescent="0.3">
      <c r="A83" s="104"/>
      <c r="B83" s="105"/>
      <c r="C83" s="157"/>
      <c r="D83" s="105"/>
      <c r="E83" s="157"/>
      <c r="F83" s="157"/>
      <c r="G83" s="109"/>
      <c r="H83" s="128"/>
      <c r="I83" s="212"/>
      <c r="J83" s="124"/>
      <c r="K83" s="211"/>
      <c r="L83" s="220"/>
      <c r="M83" s="221"/>
      <c r="N83" s="223"/>
      <c r="O83" s="410"/>
      <c r="P83" s="410"/>
      <c r="Q83" s="227"/>
      <c r="R83" s="227"/>
      <c r="S83" s="321"/>
      <c r="T83" s="227"/>
      <c r="U83" s="227"/>
      <c r="V83" s="227"/>
      <c r="W83" s="410"/>
      <c r="X83" s="410"/>
      <c r="Y83" s="294"/>
      <c r="Z83" s="227"/>
      <c r="AA83" s="227"/>
      <c r="AB83" s="227"/>
      <c r="AC83" s="294"/>
      <c r="AD83" s="223"/>
      <c r="AE83" s="410"/>
      <c r="AF83" s="410"/>
      <c r="AG83" s="294"/>
      <c r="AH83" s="69"/>
      <c r="AI83" s="430"/>
      <c r="AJ83" s="70"/>
      <c r="AK83" s="71"/>
      <c r="AL83" s="72"/>
      <c r="AM83" s="73"/>
      <c r="AN83" s="74"/>
      <c r="AO83" s="75"/>
      <c r="AP83" s="75"/>
      <c r="AQ83" s="78"/>
      <c r="AR83" s="86"/>
      <c r="AS83" s="86"/>
      <c r="AT83" s="86"/>
      <c r="AU83" s="86"/>
      <c r="AV83" s="78"/>
      <c r="AW83" s="86"/>
      <c r="AX83" s="86"/>
      <c r="AY83" s="86"/>
      <c r="AZ83" s="86"/>
      <c r="BA83" s="86"/>
      <c r="BB83" s="86"/>
      <c r="BC83" s="86"/>
      <c r="BD83" s="86"/>
      <c r="BE83" s="86"/>
      <c r="BF83" s="78"/>
      <c r="BG83" s="86"/>
      <c r="BH83" s="86"/>
      <c r="BI83" s="86"/>
      <c r="BJ83" s="63"/>
      <c r="BK83" s="79"/>
      <c r="BL83" s="48"/>
      <c r="BM83" s="78"/>
      <c r="BN83" s="63"/>
      <c r="BO83" s="79"/>
      <c r="BP83" s="48"/>
      <c r="BQ83" s="78"/>
      <c r="BR83" s="105"/>
      <c r="BS83" s="105"/>
      <c r="BT83" s="105"/>
      <c r="BU83" s="105"/>
      <c r="BV83" s="105"/>
      <c r="BW83" s="105"/>
      <c r="BX83" s="105"/>
      <c r="BY83" s="105"/>
      <c r="BZ83" s="105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5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  <c r="CX83" s="105"/>
    </row>
    <row r="84" spans="1:102" s="80" customFormat="1" x14ac:dyDescent="0.3">
      <c r="A84" s="104"/>
      <c r="B84" s="105"/>
      <c r="C84" s="157"/>
      <c r="D84" s="105"/>
      <c r="E84" s="157"/>
      <c r="F84" s="157"/>
      <c r="G84" s="109"/>
      <c r="H84" s="128"/>
      <c r="I84" s="212"/>
      <c r="J84" s="124"/>
      <c r="K84" s="211"/>
      <c r="L84" s="220"/>
      <c r="M84" s="221"/>
      <c r="N84" s="223"/>
      <c r="O84" s="410"/>
      <c r="P84" s="410"/>
      <c r="Q84" s="227"/>
      <c r="R84" s="227"/>
      <c r="S84" s="662"/>
      <c r="T84" s="695"/>
      <c r="U84" s="695"/>
      <c r="V84" s="695"/>
      <c r="W84" s="657"/>
      <c r="X84" s="657"/>
      <c r="Y84" s="658"/>
      <c r="Z84" s="227"/>
      <c r="AA84" s="227"/>
      <c r="AB84" s="227"/>
      <c r="AC84" s="294"/>
      <c r="AD84" s="223"/>
      <c r="AE84" s="410"/>
      <c r="AF84" s="657"/>
      <c r="AG84" s="658"/>
      <c r="AH84" s="69"/>
      <c r="AI84" s="430"/>
      <c r="AJ84" s="70"/>
      <c r="AK84" s="71"/>
      <c r="AL84" s="72"/>
      <c r="AM84" s="73"/>
      <c r="AN84" s="74"/>
      <c r="AO84" s="75"/>
      <c r="AP84" s="75"/>
      <c r="AQ84" s="78"/>
      <c r="AR84" s="86"/>
      <c r="AS84" s="86"/>
      <c r="AT84" s="86"/>
      <c r="AU84" s="86"/>
      <c r="AV84" s="78"/>
      <c r="AW84" s="86"/>
      <c r="AX84" s="86"/>
      <c r="AY84" s="86"/>
      <c r="AZ84" s="86"/>
      <c r="BA84" s="86"/>
      <c r="BB84" s="86"/>
      <c r="BC84" s="86"/>
      <c r="BD84" s="86"/>
      <c r="BE84" s="86"/>
      <c r="BF84" s="78"/>
      <c r="BG84" s="86"/>
      <c r="BH84" s="86"/>
      <c r="BI84" s="86"/>
      <c r="BJ84" s="63"/>
      <c r="BK84" s="79"/>
      <c r="BL84" s="48"/>
      <c r="BM84" s="78"/>
      <c r="BN84" s="63"/>
      <c r="BO84" s="79"/>
      <c r="BP84" s="48"/>
      <c r="BQ84" s="78"/>
      <c r="BR84" s="105"/>
      <c r="BS84" s="105"/>
      <c r="BT84" s="105"/>
      <c r="BU84" s="105"/>
      <c r="BV84" s="105"/>
      <c r="BW84" s="105"/>
      <c r="BX84" s="105"/>
      <c r="BY84" s="105"/>
      <c r="BZ84" s="105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  <c r="CX84" s="105"/>
    </row>
    <row r="85" spans="1:102" s="80" customFormat="1" ht="16.5" x14ac:dyDescent="0.3">
      <c r="A85" s="104"/>
      <c r="B85" s="105"/>
      <c r="C85" s="157"/>
      <c r="D85" s="105"/>
      <c r="E85" s="157"/>
      <c r="F85" s="157"/>
      <c r="G85" s="109"/>
      <c r="H85" s="128"/>
      <c r="I85" s="921" t="s">
        <v>229</v>
      </c>
      <c r="J85" s="921"/>
      <c r="K85" s="921"/>
      <c r="L85" s="920" t="s">
        <v>134</v>
      </c>
      <c r="M85" s="920"/>
      <c r="N85" s="920" t="str">
        <f>N53</f>
        <v>Vorherige Crowdfundings - DSA (Regionalspielhilfen/Sonstige)</v>
      </c>
      <c r="O85" s="920"/>
      <c r="P85" s="920"/>
      <c r="Q85" s="920"/>
      <c r="R85" s="920"/>
      <c r="S85" s="920"/>
      <c r="T85" s="920"/>
      <c r="U85" s="920"/>
      <c r="V85" s="920"/>
      <c r="W85" s="920"/>
      <c r="X85" s="920"/>
      <c r="Y85" s="920"/>
      <c r="Z85" s="920" t="str">
        <f>Z53</f>
        <v>Nebenlinien</v>
      </c>
      <c r="AA85" s="920"/>
      <c r="AB85" s="920"/>
      <c r="AC85" s="920"/>
      <c r="AD85" s="920"/>
      <c r="AE85" s="920"/>
      <c r="AF85" s="920"/>
      <c r="AG85" s="920"/>
      <c r="AH85" s="69"/>
      <c r="AI85" s="69"/>
      <c r="AJ85" s="430"/>
      <c r="AK85" s="70"/>
      <c r="AL85" s="71"/>
      <c r="AM85" s="72"/>
      <c r="AN85" s="73"/>
      <c r="AO85" s="74"/>
      <c r="AP85" s="75"/>
      <c r="AQ85" s="75"/>
      <c r="AR85" s="78"/>
      <c r="AS85" s="86"/>
      <c r="AT85" s="86"/>
      <c r="AU85" s="86"/>
      <c r="AV85" s="78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78"/>
      <c r="BK85" s="63"/>
      <c r="BL85" s="79"/>
      <c r="BM85" s="48"/>
      <c r="BN85" s="78"/>
      <c r="BO85" s="63"/>
      <c r="BP85" s="79"/>
      <c r="BQ85" s="48"/>
      <c r="BR85" s="105"/>
      <c r="BS85" s="105"/>
      <c r="BT85" s="105"/>
      <c r="BU85" s="105"/>
      <c r="BV85" s="105"/>
      <c r="BW85" s="105"/>
      <c r="BX85" s="105"/>
      <c r="BY85" s="105"/>
      <c r="BZ85" s="105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5"/>
      <c r="CW85" s="105"/>
      <c r="CX85" s="105"/>
    </row>
    <row r="86" spans="1:102" s="80" customFormat="1" ht="30" x14ac:dyDescent="0.3">
      <c r="A86" s="105"/>
      <c r="B86" s="125"/>
      <c r="C86" s="157"/>
      <c r="D86" s="105"/>
      <c r="E86" s="157"/>
      <c r="F86" s="157"/>
      <c r="G86" s="111"/>
      <c r="H86" s="111"/>
      <c r="I86" s="423" t="s">
        <v>10</v>
      </c>
      <c r="J86" s="206" t="s">
        <v>353</v>
      </c>
      <c r="K86" s="207" t="s">
        <v>352</v>
      </c>
      <c r="L86" s="206" t="s">
        <v>100</v>
      </c>
      <c r="M86" s="207" t="s">
        <v>101</v>
      </c>
      <c r="N86" s="229" t="s">
        <v>10</v>
      </c>
      <c r="O86" s="663" t="s">
        <v>10</v>
      </c>
      <c r="P86" s="513" t="s">
        <v>10</v>
      </c>
      <c r="Q86" s="514" t="s">
        <v>10</v>
      </c>
      <c r="R86" s="552" t="s">
        <v>10</v>
      </c>
      <c r="S86" s="692" t="s">
        <v>10</v>
      </c>
      <c r="T86" s="801" t="s">
        <v>10</v>
      </c>
      <c r="U86" s="515" t="s">
        <v>10</v>
      </c>
      <c r="V86" s="520" t="s">
        <v>10</v>
      </c>
      <c r="W86" s="665" t="s">
        <v>10</v>
      </c>
      <c r="X86" s="659" t="s">
        <v>10</v>
      </c>
      <c r="Y86" s="660" t="s">
        <v>10</v>
      </c>
      <c r="Z86" s="296" t="s">
        <v>10</v>
      </c>
      <c r="AA86" s="320" t="s">
        <v>10</v>
      </c>
      <c r="AB86" s="409" t="s">
        <v>10</v>
      </c>
      <c r="AC86" s="412" t="s">
        <v>10</v>
      </c>
      <c r="AD86" s="550" t="s">
        <v>10</v>
      </c>
      <c r="AE86" s="551" t="s">
        <v>10</v>
      </c>
      <c r="AF86" s="551" t="s">
        <v>10</v>
      </c>
      <c r="AG86" s="674" t="s">
        <v>10</v>
      </c>
      <c r="AH86" s="81"/>
      <c r="AI86" s="81"/>
      <c r="AJ86" s="426"/>
      <c r="AK86" s="81"/>
      <c r="AL86" s="81"/>
      <c r="AM86" s="81"/>
      <c r="AN86" s="81"/>
      <c r="AO86" s="81"/>
      <c r="AP86" s="69"/>
      <c r="AQ86" s="81"/>
      <c r="AR86" s="78"/>
      <c r="AS86" s="86"/>
      <c r="AT86" s="86"/>
      <c r="AU86" s="86"/>
      <c r="AV86" s="78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78"/>
      <c r="BK86" s="63"/>
      <c r="BL86" s="79"/>
      <c r="BM86" s="48"/>
      <c r="BN86" s="78"/>
      <c r="BO86" s="63"/>
      <c r="BP86" s="79"/>
      <c r="BQ86" s="48"/>
      <c r="BR86" s="105"/>
      <c r="BS86" s="105"/>
      <c r="BT86" s="105"/>
      <c r="BU86" s="105"/>
      <c r="BV86" s="105"/>
      <c r="BW86" s="105"/>
      <c r="BX86" s="105"/>
      <c r="BY86" s="105"/>
      <c r="BZ86" s="105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  <c r="CX86" s="105"/>
    </row>
    <row r="87" spans="1:102" s="80" customFormat="1" ht="60" x14ac:dyDescent="0.25">
      <c r="A87" s="105"/>
      <c r="B87" s="125"/>
      <c r="C87" s="157"/>
      <c r="D87" s="105"/>
      <c r="E87" s="157"/>
      <c r="F87" s="157"/>
      <c r="G87" s="678" t="s">
        <v>24</v>
      </c>
      <c r="H87" s="679" t="s">
        <v>9</v>
      </c>
      <c r="I87" s="423" t="str">
        <f t="shared" ref="I87:M87" si="201">I55</f>
        <v>Stand Ist/HR</v>
      </c>
      <c r="J87" s="206" t="str">
        <f t="shared" si="201"/>
        <v>Stand Ist/HR</v>
      </c>
      <c r="K87" s="207" t="str">
        <f t="shared" si="201"/>
        <v>Stand Ist/HR</v>
      </c>
      <c r="L87" s="217" t="str">
        <f t="shared" si="201"/>
        <v>1. Schätzung</v>
      </c>
      <c r="M87" s="207" t="str">
        <f t="shared" si="201"/>
        <v>1. Schätzung</v>
      </c>
      <c r="N87" s="423" t="str">
        <f>N55</f>
        <v>Thorwal</v>
      </c>
      <c r="O87" s="664" t="str">
        <f t="shared" ref="O87:Q87" si="202">O55</f>
        <v>Sonnen-küste</v>
      </c>
      <c r="P87" s="516" t="str">
        <f t="shared" si="202"/>
        <v>Winter-wacht</v>
      </c>
      <c r="Q87" s="517" t="str">
        <f t="shared" si="202"/>
        <v>Echsen-sümpfe</v>
      </c>
      <c r="R87" s="553" t="str">
        <f t="shared" ref="R87" si="203">R55</f>
        <v>Wolfsfrost</v>
      </c>
      <c r="S87" s="694" t="str">
        <f t="shared" ref="S87:AE87" si="204">S55</f>
        <v>Rohals Erben</v>
      </c>
      <c r="T87" s="798" t="str">
        <f t="shared" ref="T87:U87" si="205">T55</f>
        <v>Kirchen Alverans</v>
      </c>
      <c r="U87" s="518" t="str">
        <f t="shared" si="205"/>
        <v>Lexikon des Schwarzen Auges</v>
      </c>
      <c r="V87" s="521" t="str">
        <f t="shared" si="204"/>
        <v>Mosaik der Märchen</v>
      </c>
      <c r="W87" s="666" t="str">
        <f t="shared" si="204"/>
        <v>Ära des Goldenen Kaisers</v>
      </c>
      <c r="X87" s="661" t="str">
        <f t="shared" si="204"/>
        <v>Werkzeuge</v>
      </c>
      <c r="Y87" s="424" t="str">
        <f t="shared" si="204"/>
        <v>Gunst der Göttin</v>
      </c>
      <c r="Z87" s="296" t="str">
        <f t="shared" si="204"/>
        <v>DSK Fasar</v>
      </c>
      <c r="AA87" s="320" t="str">
        <f t="shared" si="204"/>
        <v>DSK Schleich-ender Verfall</v>
      </c>
      <c r="AB87" s="409" t="str">
        <f t="shared" si="204"/>
        <v>DSK Refurbished</v>
      </c>
      <c r="AC87" s="412" t="str">
        <f t="shared" si="204"/>
        <v>DSK Ewige Suche</v>
      </c>
      <c r="AD87" s="300" t="str">
        <f t="shared" si="204"/>
        <v>AVENTURIA
Nedime &amp; Borbarad</v>
      </c>
      <c r="AE87" s="541" t="str">
        <f t="shared" si="204"/>
        <v>AVENTURIA
Mythen &amp; Legenden</v>
      </c>
      <c r="AF87" s="541" t="str">
        <f>AF55</f>
        <v>AVENTURIA
Stories &amp; Legends</v>
      </c>
      <c r="AG87" s="672" t="str">
        <f>AG55</f>
        <v>AVENTURIA
Kelche der Macht</v>
      </c>
      <c r="AH87" s="81"/>
      <c r="AI87" s="81"/>
      <c r="AJ87" s="426"/>
      <c r="AK87" s="81"/>
      <c r="AL87" s="81"/>
      <c r="AM87" s="81"/>
      <c r="AN87" s="81"/>
      <c r="AO87" s="81"/>
      <c r="AP87" s="69"/>
      <c r="AQ87" s="81"/>
      <c r="AR87" s="78"/>
      <c r="AS87" s="86"/>
      <c r="AT87" s="86"/>
      <c r="AU87" s="86"/>
      <c r="AV87" s="78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78"/>
      <c r="BK87" s="63"/>
      <c r="BL87" s="79"/>
      <c r="BM87" s="48"/>
      <c r="BN87" s="78"/>
      <c r="BO87" s="63"/>
      <c r="BP87" s="79"/>
      <c r="BQ87" s="48"/>
      <c r="BR87" s="105"/>
      <c r="BS87" s="105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</row>
    <row r="88" spans="1:102" s="80" customFormat="1" x14ac:dyDescent="0.3">
      <c r="A88" s="105"/>
      <c r="B88" s="125"/>
      <c r="C88" s="157"/>
      <c r="D88" s="105"/>
      <c r="E88" s="157"/>
      <c r="F88" s="157"/>
      <c r="G88" s="680">
        <v>0</v>
      </c>
      <c r="H88" s="681">
        <f t="shared" ref="H88:H109" si="206">H56</f>
        <v>46189.75</v>
      </c>
      <c r="I88" s="469">
        <f t="shared" ref="I88:I109" si="207">AS56</f>
        <v>0</v>
      </c>
      <c r="J88" s="110">
        <f t="shared" ref="J88:J109" si="208">BA56</f>
        <v>0</v>
      </c>
      <c r="K88" s="214">
        <f t="shared" ref="K88:K109" si="209">BF56</f>
        <v>0</v>
      </c>
      <c r="L88" s="469">
        <f>BJ87</f>
        <v>0</v>
      </c>
      <c r="M88" s="470">
        <f>BN87</f>
        <v>0</v>
      </c>
      <c r="N88" s="469">
        <v>0</v>
      </c>
      <c r="O88" s="522">
        <v>0</v>
      </c>
      <c r="P88" s="522">
        <v>0</v>
      </c>
      <c r="Q88" s="522">
        <v>0</v>
      </c>
      <c r="R88" s="522">
        <v>0</v>
      </c>
      <c r="S88" s="469">
        <v>0</v>
      </c>
      <c r="T88" s="522">
        <v>0</v>
      </c>
      <c r="U88" s="522">
        <v>0</v>
      </c>
      <c r="V88" s="522">
        <v>0</v>
      </c>
      <c r="W88" s="522">
        <v>0</v>
      </c>
      <c r="X88" s="522">
        <v>0</v>
      </c>
      <c r="Y88" s="470">
        <v>0</v>
      </c>
      <c r="Z88" s="213">
        <v>0</v>
      </c>
      <c r="AA88" s="133">
        <v>0</v>
      </c>
      <c r="AB88" s="133">
        <v>0</v>
      </c>
      <c r="AC88" s="222">
        <v>0</v>
      </c>
      <c r="AD88" s="213">
        <v>0</v>
      </c>
      <c r="AE88" s="133">
        <v>0</v>
      </c>
      <c r="AF88" s="133">
        <v>0</v>
      </c>
      <c r="AG88" s="222">
        <v>0</v>
      </c>
      <c r="AH88" s="81"/>
      <c r="AI88" s="81"/>
      <c r="AJ88" s="431"/>
      <c r="AK88" s="81"/>
      <c r="AL88" s="81"/>
      <c r="AM88" s="81"/>
      <c r="AN88" s="81"/>
      <c r="AO88" s="81"/>
      <c r="AP88" s="69"/>
      <c r="AQ88" s="81"/>
      <c r="AR88" s="78"/>
      <c r="AS88" s="86"/>
      <c r="AT88" s="86"/>
      <c r="AU88" s="86"/>
      <c r="AV88" s="78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78"/>
      <c r="BK88" s="63"/>
      <c r="BL88" s="79"/>
      <c r="BM88" s="48"/>
      <c r="BN88" s="78"/>
      <c r="BO88" s="63"/>
      <c r="BP88" s="79"/>
      <c r="BQ88" s="48"/>
      <c r="BR88" s="105"/>
      <c r="BS88" s="105"/>
      <c r="BT88" s="105"/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</row>
    <row r="89" spans="1:102" s="64" customFormat="1" x14ac:dyDescent="0.3">
      <c r="A89" s="110"/>
      <c r="B89" s="413"/>
      <c r="C89" s="156"/>
      <c r="D89" s="110"/>
      <c r="E89" s="156"/>
      <c r="F89" s="156"/>
      <c r="G89" s="680">
        <v>1</v>
      </c>
      <c r="H89" s="681">
        <f t="shared" si="206"/>
        <v>46190.902083333334</v>
      </c>
      <c r="I89" s="469">
        <f t="shared" si="207"/>
        <v>723</v>
      </c>
      <c r="J89" s="467">
        <f t="shared" si="208"/>
        <v>723</v>
      </c>
      <c r="K89" s="468">
        <f t="shared" si="209"/>
        <v>723</v>
      </c>
      <c r="L89" s="469">
        <f t="shared" ref="L89:L109" si="210">BL57</f>
        <v>723</v>
      </c>
      <c r="M89" s="470">
        <f t="shared" ref="M89:M109" si="211">BP57</f>
        <v>723</v>
      </c>
      <c r="N89" s="469">
        <v>500</v>
      </c>
      <c r="O89" s="522">
        <v>625</v>
      </c>
      <c r="P89" s="522">
        <v>489</v>
      </c>
      <c r="Q89" s="522">
        <v>396</v>
      </c>
      <c r="R89" s="522">
        <v>504</v>
      </c>
      <c r="S89" s="469">
        <v>341</v>
      </c>
      <c r="T89" s="522">
        <v>550</v>
      </c>
      <c r="U89" s="522">
        <v>0</v>
      </c>
      <c r="V89" s="522">
        <v>347</v>
      </c>
      <c r="W89" s="522">
        <v>180</v>
      </c>
      <c r="X89" s="522">
        <v>179</v>
      </c>
      <c r="Y89" s="470">
        <v>317</v>
      </c>
      <c r="Z89" s="213">
        <v>195</v>
      </c>
      <c r="AA89" s="133">
        <v>136</v>
      </c>
      <c r="AB89" s="133">
        <v>67</v>
      </c>
      <c r="AC89" s="222">
        <v>121</v>
      </c>
      <c r="AD89" s="213">
        <v>73</v>
      </c>
      <c r="AE89" s="133">
        <v>115</v>
      </c>
      <c r="AF89" s="133"/>
      <c r="AG89" s="222">
        <v>929</v>
      </c>
      <c r="AH89" s="405"/>
      <c r="AI89" s="405"/>
      <c r="AJ89" s="431"/>
      <c r="AK89" s="405"/>
      <c r="AL89" s="405"/>
      <c r="AM89" s="405"/>
      <c r="AN89" s="405"/>
      <c r="AO89" s="405"/>
      <c r="AP89" s="41"/>
      <c r="AQ89" s="414"/>
      <c r="AR89" s="60"/>
      <c r="AS89" s="415"/>
      <c r="AT89" s="415"/>
      <c r="AU89" s="415"/>
      <c r="AV89" s="60"/>
      <c r="AW89" s="415"/>
      <c r="AX89" s="415"/>
      <c r="AY89" s="415"/>
      <c r="AZ89" s="415"/>
      <c r="BA89" s="415"/>
      <c r="BB89" s="415"/>
      <c r="BC89" s="415"/>
      <c r="BD89" s="415"/>
      <c r="BE89" s="415"/>
      <c r="BF89" s="415"/>
      <c r="BG89" s="415"/>
      <c r="BH89" s="415"/>
      <c r="BI89" s="415"/>
      <c r="BJ89" s="60"/>
      <c r="BK89" s="60"/>
      <c r="BL89" s="67"/>
      <c r="BM89" s="43"/>
      <c r="BN89" s="60"/>
      <c r="BO89" s="60"/>
      <c r="BP89" s="67"/>
      <c r="BQ89" s="43"/>
      <c r="BR89" s="110"/>
      <c r="BS89" s="110"/>
      <c r="BT89" s="110"/>
      <c r="BU89" s="110"/>
      <c r="BV89" s="110"/>
      <c r="BW89" s="110"/>
      <c r="BX89" s="110"/>
      <c r="BY89" s="110"/>
      <c r="BZ89" s="110"/>
      <c r="CA89" s="110"/>
      <c r="CB89" s="110"/>
      <c r="CC89" s="110"/>
      <c r="CD89" s="110"/>
      <c r="CE89" s="110"/>
      <c r="CF89" s="110"/>
      <c r="CG89" s="110"/>
      <c r="CH89" s="110"/>
      <c r="CI89" s="110"/>
      <c r="CJ89" s="110"/>
      <c r="CK89" s="110"/>
      <c r="CL89" s="110"/>
      <c r="CM89" s="110"/>
      <c r="CN89" s="110"/>
      <c r="CO89" s="110"/>
      <c r="CP89" s="110"/>
      <c r="CQ89" s="110"/>
      <c r="CR89" s="110"/>
      <c r="CS89" s="110"/>
      <c r="CT89" s="110"/>
      <c r="CU89" s="110"/>
      <c r="CV89" s="110"/>
      <c r="CW89" s="110"/>
      <c r="CX89" s="110"/>
    </row>
    <row r="90" spans="1:102" s="64" customFormat="1" x14ac:dyDescent="0.3">
      <c r="A90" s="110"/>
      <c r="B90" s="413"/>
      <c r="C90" s="156"/>
      <c r="D90" s="110"/>
      <c r="E90" s="156"/>
      <c r="F90" s="156"/>
      <c r="G90" s="680">
        <v>2</v>
      </c>
      <c r="H90" s="681">
        <f t="shared" si="206"/>
        <v>46191.770833333336</v>
      </c>
      <c r="I90" s="469">
        <f t="shared" ref="I90:I94" si="212">AS58</f>
        <v>827</v>
      </c>
      <c r="J90" s="467">
        <f t="shared" ref="J90:J94" si="213">BA58</f>
        <v>827</v>
      </c>
      <c r="K90" s="468">
        <f t="shared" ref="K90:K94" si="214">BF58</f>
        <v>827</v>
      </c>
      <c r="L90" s="469">
        <f t="shared" ref="L90:L94" si="215">BL58</f>
        <v>827</v>
      </c>
      <c r="M90" s="470">
        <f t="shared" ref="M90:M94" si="216">BP58</f>
        <v>827</v>
      </c>
      <c r="N90" s="469"/>
      <c r="O90" s="522">
        <v>789</v>
      </c>
      <c r="P90" s="522">
        <v>618</v>
      </c>
      <c r="Q90" s="522">
        <v>516</v>
      </c>
      <c r="R90" s="522">
        <v>617</v>
      </c>
      <c r="S90" s="469">
        <v>404</v>
      </c>
      <c r="T90" s="522">
        <v>683</v>
      </c>
      <c r="U90" s="522">
        <v>354</v>
      </c>
      <c r="V90" s="522">
        <v>483</v>
      </c>
      <c r="W90" s="522">
        <v>256</v>
      </c>
      <c r="X90" s="522">
        <v>206</v>
      </c>
      <c r="Y90" s="470">
        <v>417</v>
      </c>
      <c r="Z90" s="213">
        <v>233</v>
      </c>
      <c r="AA90" s="133">
        <v>172</v>
      </c>
      <c r="AB90" s="133">
        <v>89</v>
      </c>
      <c r="AC90" s="434"/>
      <c r="AD90" s="213">
        <v>82</v>
      </c>
      <c r="AE90" s="133">
        <v>145</v>
      </c>
      <c r="AF90" s="133"/>
      <c r="AG90" s="222">
        <v>1062</v>
      </c>
      <c r="AH90" s="405"/>
      <c r="AI90" s="405"/>
      <c r="AJ90" s="431"/>
      <c r="AK90" s="405"/>
      <c r="AL90" s="405"/>
      <c r="AM90" s="405"/>
      <c r="AN90" s="405"/>
      <c r="AO90" s="405"/>
      <c r="AP90" s="41"/>
      <c r="AQ90" s="405"/>
      <c r="AR90" s="60"/>
      <c r="AS90" s="415"/>
      <c r="AT90" s="415"/>
      <c r="AU90" s="415"/>
      <c r="AV90" s="60"/>
      <c r="AW90" s="415"/>
      <c r="AX90" s="415"/>
      <c r="AY90" s="415"/>
      <c r="AZ90" s="415"/>
      <c r="BA90" s="415"/>
      <c r="BB90" s="415"/>
      <c r="BC90" s="415"/>
      <c r="BD90" s="415"/>
      <c r="BE90" s="415"/>
      <c r="BF90" s="415"/>
      <c r="BG90" s="415"/>
      <c r="BH90" s="415"/>
      <c r="BI90" s="415"/>
      <c r="BJ90" s="60"/>
      <c r="BK90" s="60"/>
      <c r="BL90" s="67"/>
      <c r="BM90" s="43"/>
      <c r="BN90" s="60"/>
      <c r="BO90" s="60"/>
      <c r="BP90" s="67"/>
      <c r="BQ90" s="43"/>
      <c r="BR90" s="110"/>
      <c r="BS90" s="110"/>
      <c r="BT90" s="110"/>
      <c r="BU90" s="110"/>
      <c r="BV90" s="110"/>
      <c r="BW90" s="110"/>
      <c r="BX90" s="110"/>
      <c r="BY90" s="110"/>
      <c r="BZ90" s="110"/>
      <c r="CA90" s="110"/>
      <c r="CB90" s="110"/>
      <c r="CC90" s="110"/>
      <c r="CD90" s="110"/>
      <c r="CE90" s="110"/>
      <c r="CF90" s="110"/>
      <c r="CG90" s="110"/>
      <c r="CH90" s="110"/>
      <c r="CI90" s="110"/>
      <c r="CJ90" s="110"/>
      <c r="CK90" s="110"/>
      <c r="CL90" s="110"/>
      <c r="CM90" s="110"/>
      <c r="CN90" s="110"/>
      <c r="CO90" s="110"/>
      <c r="CP90" s="110"/>
      <c r="CQ90" s="110"/>
      <c r="CR90" s="110"/>
      <c r="CS90" s="110"/>
      <c r="CT90" s="110"/>
      <c r="CU90" s="110"/>
      <c r="CV90" s="110"/>
      <c r="CW90" s="110"/>
      <c r="CX90" s="110"/>
    </row>
    <row r="91" spans="1:102" s="64" customFormat="1" x14ac:dyDescent="0.3">
      <c r="A91" s="110"/>
      <c r="B91" s="413"/>
      <c r="C91" s="156"/>
      <c r="D91" s="110"/>
      <c r="E91" s="156"/>
      <c r="F91" s="156"/>
      <c r="G91" s="680">
        <v>3</v>
      </c>
      <c r="H91" s="681">
        <f t="shared" si="206"/>
        <v>46192.809027777781</v>
      </c>
      <c r="I91" s="469">
        <f t="shared" si="212"/>
        <v>887</v>
      </c>
      <c r="J91" s="467">
        <f t="shared" si="213"/>
        <v>887</v>
      </c>
      <c r="K91" s="468">
        <f t="shared" si="214"/>
        <v>887</v>
      </c>
      <c r="L91" s="469">
        <f t="shared" si="215"/>
        <v>887</v>
      </c>
      <c r="M91" s="470">
        <f t="shared" si="216"/>
        <v>887</v>
      </c>
      <c r="N91" s="469"/>
      <c r="O91" s="522">
        <v>852</v>
      </c>
      <c r="P91" s="522">
        <v>731</v>
      </c>
      <c r="Q91" s="522">
        <v>580</v>
      </c>
      <c r="R91" s="522">
        <v>696</v>
      </c>
      <c r="S91" s="469">
        <v>480</v>
      </c>
      <c r="T91" s="522">
        <v>755</v>
      </c>
      <c r="U91" s="522">
        <v>481</v>
      </c>
      <c r="V91" s="522">
        <v>536</v>
      </c>
      <c r="W91" s="522">
        <v>301</v>
      </c>
      <c r="X91" s="522">
        <v>224</v>
      </c>
      <c r="Y91" s="470">
        <v>458</v>
      </c>
      <c r="Z91" s="213">
        <v>248</v>
      </c>
      <c r="AA91" s="133">
        <v>199</v>
      </c>
      <c r="AB91" s="133">
        <v>101</v>
      </c>
      <c r="AC91" s="434"/>
      <c r="AD91" s="213">
        <v>90</v>
      </c>
      <c r="AE91" s="133">
        <v>162</v>
      </c>
      <c r="AF91" s="133"/>
      <c r="AG91" s="222">
        <v>1134</v>
      </c>
      <c r="AH91" s="405"/>
      <c r="AI91" s="405"/>
      <c r="AJ91" s="431"/>
      <c r="AK91" s="405"/>
      <c r="AL91" s="405"/>
      <c r="AM91" s="405"/>
      <c r="AN91" s="405"/>
      <c r="AO91" s="405"/>
      <c r="AP91" s="41"/>
      <c r="AQ91" s="405"/>
      <c r="AR91" s="60"/>
      <c r="AS91" s="415"/>
      <c r="AT91" s="415"/>
      <c r="AU91" s="415"/>
      <c r="AV91" s="60"/>
      <c r="AW91" s="415"/>
      <c r="AX91" s="415"/>
      <c r="AY91" s="415"/>
      <c r="AZ91" s="415"/>
      <c r="BA91" s="415"/>
      <c r="BB91" s="415"/>
      <c r="BC91" s="415"/>
      <c r="BD91" s="415"/>
      <c r="BE91" s="415"/>
      <c r="BF91" s="415"/>
      <c r="BG91" s="415"/>
      <c r="BH91" s="415"/>
      <c r="BI91" s="415"/>
      <c r="BJ91" s="60"/>
      <c r="BK91" s="60"/>
      <c r="BL91" s="67"/>
      <c r="BM91" s="43"/>
      <c r="BN91" s="60"/>
      <c r="BO91" s="60"/>
      <c r="BP91" s="67"/>
      <c r="BQ91" s="43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  <c r="CT91" s="110"/>
      <c r="CU91" s="110"/>
      <c r="CV91" s="110"/>
      <c r="CW91" s="110"/>
      <c r="CX91" s="110"/>
    </row>
    <row r="92" spans="1:102" s="64" customFormat="1" x14ac:dyDescent="0.3">
      <c r="A92" s="110"/>
      <c r="B92" s="413"/>
      <c r="C92" s="156"/>
      <c r="D92" s="110"/>
      <c r="E92" s="156"/>
      <c r="F92" s="156"/>
      <c r="G92" s="680">
        <v>4</v>
      </c>
      <c r="H92" s="681">
        <f t="shared" si="206"/>
        <v>46193.754166666666</v>
      </c>
      <c r="I92" s="469">
        <f t="shared" ref="I92" si="217">AS60</f>
        <v>938</v>
      </c>
      <c r="J92" s="467">
        <f t="shared" ref="J92" si="218">BA60</f>
        <v>938</v>
      </c>
      <c r="K92" s="468">
        <f t="shared" ref="K92" si="219">BF60</f>
        <v>938</v>
      </c>
      <c r="L92" s="469">
        <f t="shared" ref="L92" si="220">BL60</f>
        <v>938</v>
      </c>
      <c r="M92" s="470">
        <f t="shared" ref="M92" si="221">BP60</f>
        <v>938</v>
      </c>
      <c r="N92" s="469"/>
      <c r="O92" s="522">
        <v>891</v>
      </c>
      <c r="P92" s="522">
        <v>797</v>
      </c>
      <c r="Q92" s="522">
        <v>622</v>
      </c>
      <c r="R92" s="522">
        <v>759</v>
      </c>
      <c r="S92" s="469">
        <v>520</v>
      </c>
      <c r="T92" s="522">
        <v>813</v>
      </c>
      <c r="U92" s="522">
        <v>529</v>
      </c>
      <c r="V92" s="522">
        <v>585</v>
      </c>
      <c r="W92" s="522">
        <v>323</v>
      </c>
      <c r="X92" s="522">
        <v>247</v>
      </c>
      <c r="Y92" s="470">
        <v>486</v>
      </c>
      <c r="Z92" s="213">
        <v>264</v>
      </c>
      <c r="AA92" s="133">
        <v>218</v>
      </c>
      <c r="AB92" s="133">
        <v>110</v>
      </c>
      <c r="AC92" s="434"/>
      <c r="AD92" s="213">
        <v>95</v>
      </c>
      <c r="AE92" s="133">
        <v>178</v>
      </c>
      <c r="AF92" s="133"/>
      <c r="AG92" s="222">
        <v>1388</v>
      </c>
      <c r="AH92" s="405"/>
      <c r="AI92" s="405"/>
      <c r="AJ92" s="431"/>
      <c r="AK92" s="405"/>
      <c r="AL92" s="405"/>
      <c r="AM92" s="405"/>
      <c r="AN92" s="405"/>
      <c r="AO92" s="405"/>
      <c r="AP92" s="41"/>
      <c r="AQ92" s="405"/>
      <c r="AR92" s="60"/>
      <c r="AS92" s="415"/>
      <c r="AT92" s="415"/>
      <c r="AU92" s="415"/>
      <c r="AV92" s="60"/>
      <c r="AW92" s="415"/>
      <c r="AX92" s="415"/>
      <c r="AY92" s="415"/>
      <c r="AZ92" s="415"/>
      <c r="BA92" s="415"/>
      <c r="BB92" s="415"/>
      <c r="BC92" s="415"/>
      <c r="BD92" s="415"/>
      <c r="BE92" s="415"/>
      <c r="BF92" s="415"/>
      <c r="BG92" s="415"/>
      <c r="BH92" s="415"/>
      <c r="BI92" s="415"/>
      <c r="BJ92" s="60"/>
      <c r="BK92" s="60"/>
      <c r="BL92" s="67"/>
      <c r="BM92" s="43"/>
      <c r="BN92" s="60"/>
      <c r="BO92" s="60"/>
      <c r="BP92" s="67"/>
      <c r="BQ92" s="43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  <c r="CT92" s="110"/>
      <c r="CU92" s="110"/>
      <c r="CV92" s="110"/>
      <c r="CW92" s="110"/>
      <c r="CX92" s="110"/>
    </row>
    <row r="93" spans="1:102" s="64" customFormat="1" x14ac:dyDescent="0.3">
      <c r="A93" s="110"/>
      <c r="B93" s="413"/>
      <c r="C93" s="156"/>
      <c r="D93" s="110"/>
      <c r="E93" s="156"/>
      <c r="F93" s="156"/>
      <c r="G93" s="680">
        <v>5</v>
      </c>
      <c r="H93" s="681">
        <f t="shared" si="206"/>
        <v>46194.76666666667</v>
      </c>
      <c r="I93" s="469">
        <f t="shared" si="212"/>
        <v>971</v>
      </c>
      <c r="J93" s="467">
        <f t="shared" si="213"/>
        <v>971</v>
      </c>
      <c r="K93" s="468">
        <f t="shared" si="214"/>
        <v>971</v>
      </c>
      <c r="L93" s="469">
        <f t="shared" si="215"/>
        <v>971</v>
      </c>
      <c r="M93" s="470">
        <f t="shared" si="216"/>
        <v>971</v>
      </c>
      <c r="N93" s="469"/>
      <c r="O93" s="522">
        <v>918</v>
      </c>
      <c r="P93" s="522">
        <v>847</v>
      </c>
      <c r="Q93" s="522">
        <v>661</v>
      </c>
      <c r="R93" s="522">
        <v>790</v>
      </c>
      <c r="S93" s="469">
        <v>564</v>
      </c>
      <c r="T93" s="522">
        <v>872</v>
      </c>
      <c r="U93" s="522">
        <v>556</v>
      </c>
      <c r="V93" s="522">
        <v>611</v>
      </c>
      <c r="W93" s="522">
        <v>351</v>
      </c>
      <c r="X93" s="522">
        <v>264</v>
      </c>
      <c r="Y93" s="470">
        <v>497</v>
      </c>
      <c r="Z93" s="213">
        <v>280</v>
      </c>
      <c r="AA93" s="133">
        <v>235</v>
      </c>
      <c r="AB93" s="133">
        <v>116</v>
      </c>
      <c r="AC93" s="222"/>
      <c r="AD93" s="213">
        <v>111</v>
      </c>
      <c r="AE93" s="133">
        <v>191</v>
      </c>
      <c r="AF93" s="133"/>
      <c r="AG93" s="222">
        <v>1511</v>
      </c>
      <c r="AH93" s="405"/>
      <c r="AI93" s="405"/>
      <c r="AJ93" s="431"/>
      <c r="AK93" s="405"/>
      <c r="AL93" s="405"/>
      <c r="AM93" s="405"/>
      <c r="AN93" s="405"/>
      <c r="AO93" s="405"/>
      <c r="AP93" s="41"/>
      <c r="AQ93" s="405"/>
      <c r="AR93" s="405"/>
      <c r="AS93" s="816"/>
      <c r="AT93" s="817"/>
      <c r="AU93" s="414"/>
      <c r="AV93" s="60"/>
      <c r="AW93" s="816"/>
      <c r="AX93" s="62"/>
      <c r="AY93" s="62"/>
      <c r="AZ93" s="60"/>
      <c r="BA93" s="67"/>
      <c r="BB93" s="817"/>
      <c r="BC93" s="817"/>
      <c r="BD93" s="67"/>
      <c r="BE93" s="60"/>
      <c r="BF93" s="415"/>
      <c r="BG93" s="817"/>
      <c r="BH93" s="817"/>
      <c r="BI93" s="67"/>
      <c r="BJ93" s="60"/>
      <c r="BK93" s="60"/>
      <c r="BL93" s="67"/>
      <c r="BM93" s="43"/>
      <c r="BN93" s="60"/>
      <c r="BO93" s="60"/>
      <c r="BP93" s="67"/>
      <c r="BQ93" s="43"/>
      <c r="BR93" s="110"/>
      <c r="BS93" s="110"/>
      <c r="BT93" s="110"/>
      <c r="BU93" s="110"/>
      <c r="BV93" s="110"/>
      <c r="BW93" s="110"/>
      <c r="BX93" s="110"/>
      <c r="BY93" s="110"/>
      <c r="BZ93" s="110"/>
      <c r="CA93" s="110"/>
      <c r="CB93" s="110"/>
      <c r="CC93" s="110"/>
      <c r="CD93" s="110"/>
      <c r="CE93" s="110"/>
      <c r="CF93" s="110"/>
      <c r="CG93" s="110"/>
      <c r="CH93" s="110"/>
      <c r="CI93" s="110"/>
      <c r="CJ93" s="110"/>
      <c r="CK93" s="110"/>
      <c r="CL93" s="110"/>
      <c r="CM93" s="110"/>
      <c r="CN93" s="110"/>
      <c r="CO93" s="110"/>
      <c r="CP93" s="110"/>
      <c r="CQ93" s="110"/>
      <c r="CR93" s="110"/>
      <c r="CS93" s="110"/>
      <c r="CT93" s="110"/>
      <c r="CU93" s="110"/>
      <c r="CV93" s="110"/>
      <c r="CW93" s="110"/>
      <c r="CX93" s="110"/>
    </row>
    <row r="94" spans="1:102" s="64" customFormat="1" x14ac:dyDescent="0.3">
      <c r="A94" s="110"/>
      <c r="B94" s="413"/>
      <c r="C94" s="156"/>
      <c r="D94" s="110"/>
      <c r="E94" s="156"/>
      <c r="F94" s="156"/>
      <c r="G94" s="680">
        <v>6</v>
      </c>
      <c r="H94" s="681">
        <f t="shared" si="206"/>
        <v>46195.84652777778</v>
      </c>
      <c r="I94" s="469">
        <f t="shared" si="212"/>
        <v>1014</v>
      </c>
      <c r="J94" s="467">
        <f t="shared" si="213"/>
        <v>1014</v>
      </c>
      <c r="K94" s="468">
        <f t="shared" si="214"/>
        <v>1014</v>
      </c>
      <c r="L94" s="469">
        <f t="shared" si="215"/>
        <v>1007</v>
      </c>
      <c r="M94" s="470">
        <f t="shared" si="216"/>
        <v>1086</v>
      </c>
      <c r="N94" s="469"/>
      <c r="O94" s="522">
        <v>953</v>
      </c>
      <c r="P94" s="522">
        <v>901</v>
      </c>
      <c r="Q94" s="522">
        <v>706</v>
      </c>
      <c r="R94" s="522">
        <v>821</v>
      </c>
      <c r="S94" s="469">
        <v>652</v>
      </c>
      <c r="T94" s="522">
        <v>917</v>
      </c>
      <c r="U94" s="522">
        <v>591</v>
      </c>
      <c r="V94" s="522">
        <v>633</v>
      </c>
      <c r="W94" s="522">
        <v>395</v>
      </c>
      <c r="X94" s="522">
        <v>274</v>
      </c>
      <c r="Y94" s="470">
        <v>508</v>
      </c>
      <c r="Z94" s="213">
        <v>294</v>
      </c>
      <c r="AA94" s="133">
        <v>241</v>
      </c>
      <c r="AB94" s="133">
        <v>123</v>
      </c>
      <c r="AC94" s="222"/>
      <c r="AD94" s="213">
        <v>114.99999999999999</v>
      </c>
      <c r="AE94" s="133">
        <v>220</v>
      </c>
      <c r="AF94" s="133"/>
      <c r="AG94" s="222">
        <v>1598</v>
      </c>
      <c r="AH94" s="405"/>
      <c r="AI94" s="405"/>
      <c r="AJ94" s="431"/>
      <c r="AK94" s="405"/>
      <c r="AL94" s="405"/>
      <c r="AM94" s="405"/>
      <c r="AN94" s="405"/>
      <c r="AO94" s="405"/>
      <c r="AP94" s="41"/>
      <c r="AQ94" s="405"/>
      <c r="AR94" s="405"/>
      <c r="AS94" s="816"/>
      <c r="AT94" s="817"/>
      <c r="AU94" s="414"/>
      <c r="AV94" s="60"/>
      <c r="AW94" s="816"/>
      <c r="AX94" s="62"/>
      <c r="AY94" s="62"/>
      <c r="AZ94" s="60"/>
      <c r="BA94" s="67"/>
      <c r="BB94" s="817"/>
      <c r="BC94" s="817"/>
      <c r="BD94" s="67"/>
      <c r="BE94" s="60"/>
      <c r="BF94" s="415"/>
      <c r="BG94" s="817"/>
      <c r="BH94" s="817"/>
      <c r="BI94" s="67"/>
      <c r="BJ94" s="60"/>
      <c r="BK94" s="60"/>
      <c r="BL94" s="67"/>
      <c r="BM94" s="43"/>
      <c r="BN94" s="60"/>
      <c r="BO94" s="60"/>
      <c r="BP94" s="67"/>
      <c r="BQ94" s="43"/>
      <c r="BR94" s="110"/>
      <c r="BS94" s="110"/>
      <c r="BT94" s="110"/>
      <c r="BU94" s="110"/>
      <c r="BV94" s="110"/>
      <c r="BW94" s="110"/>
      <c r="BX94" s="110"/>
      <c r="BY94" s="110"/>
      <c r="BZ94" s="110"/>
      <c r="CA94" s="110"/>
      <c r="CB94" s="110"/>
      <c r="CC94" s="110"/>
      <c r="CD94" s="110"/>
      <c r="CE94" s="110"/>
      <c r="CF94" s="110"/>
      <c r="CG94" s="110"/>
      <c r="CH94" s="110"/>
      <c r="CI94" s="110"/>
      <c r="CJ94" s="110"/>
      <c r="CK94" s="110"/>
      <c r="CL94" s="110"/>
      <c r="CM94" s="110"/>
      <c r="CN94" s="110"/>
      <c r="CO94" s="110"/>
      <c r="CP94" s="110"/>
      <c r="CQ94" s="110"/>
      <c r="CR94" s="110"/>
      <c r="CS94" s="110"/>
      <c r="CT94" s="110"/>
      <c r="CU94" s="110"/>
      <c r="CV94" s="110"/>
      <c r="CW94" s="110"/>
      <c r="CX94" s="110"/>
    </row>
    <row r="95" spans="1:102" s="64" customFormat="1" x14ac:dyDescent="0.3">
      <c r="A95" s="110"/>
      <c r="B95" s="413"/>
      <c r="C95" s="156"/>
      <c r="D95" s="110"/>
      <c r="E95" s="156"/>
      <c r="F95" s="156"/>
      <c r="G95" s="680">
        <v>7</v>
      </c>
      <c r="H95" s="681">
        <f t="shared" si="206"/>
        <v>46196.77847222222</v>
      </c>
      <c r="I95" s="469">
        <f t="shared" si="207"/>
        <v>1040</v>
      </c>
      <c r="J95" s="467">
        <f t="shared" si="208"/>
        <v>1040</v>
      </c>
      <c r="K95" s="468">
        <f t="shared" si="209"/>
        <v>1040</v>
      </c>
      <c r="L95" s="469">
        <f t="shared" si="210"/>
        <v>1027</v>
      </c>
      <c r="M95" s="470">
        <f t="shared" si="211"/>
        <v>1385</v>
      </c>
      <c r="N95" s="469"/>
      <c r="O95" s="522">
        <v>1044</v>
      </c>
      <c r="P95" s="522">
        <v>953</v>
      </c>
      <c r="Q95" s="522">
        <v>746</v>
      </c>
      <c r="R95" s="522">
        <v>855</v>
      </c>
      <c r="S95" s="469">
        <v>709</v>
      </c>
      <c r="T95" s="522">
        <v>955</v>
      </c>
      <c r="U95" s="522">
        <v>614</v>
      </c>
      <c r="V95" s="522">
        <v>661</v>
      </c>
      <c r="W95" s="522">
        <v>435</v>
      </c>
      <c r="X95" s="522">
        <v>295</v>
      </c>
      <c r="Y95" s="470">
        <v>523</v>
      </c>
      <c r="Z95" s="213">
        <v>308</v>
      </c>
      <c r="AA95" s="133">
        <v>262</v>
      </c>
      <c r="AB95" s="133">
        <v>127</v>
      </c>
      <c r="AC95" s="222">
        <v>220</v>
      </c>
      <c r="AD95" s="213">
        <v>124</v>
      </c>
      <c r="AE95" s="133">
        <v>236</v>
      </c>
      <c r="AF95" s="133"/>
      <c r="AG95" s="222">
        <v>1658</v>
      </c>
      <c r="AH95" s="405"/>
      <c r="AI95" s="405"/>
      <c r="AJ95" s="431"/>
      <c r="AK95" s="405"/>
      <c r="AL95" s="405"/>
      <c r="AM95" s="405"/>
      <c r="AN95" s="405"/>
      <c r="AO95" s="405"/>
      <c r="AP95" s="41"/>
      <c r="AQ95" s="405"/>
      <c r="AR95" s="405"/>
      <c r="AS95" s="816"/>
      <c r="AT95" s="817"/>
      <c r="AU95" s="414"/>
      <c r="AV95" s="60"/>
      <c r="AW95" s="816"/>
      <c r="AX95" s="62"/>
      <c r="AY95" s="62"/>
      <c r="AZ95" s="60"/>
      <c r="BA95" s="67"/>
      <c r="BB95" s="817"/>
      <c r="BC95" s="817"/>
      <c r="BD95" s="67"/>
      <c r="BE95" s="60"/>
      <c r="BF95" s="415"/>
      <c r="BG95" s="817"/>
      <c r="BH95" s="817"/>
      <c r="BI95" s="67"/>
      <c r="BJ95" s="60"/>
      <c r="BK95" s="60"/>
      <c r="BL95" s="67"/>
      <c r="BM95" s="43"/>
      <c r="BN95" s="60"/>
      <c r="BO95" s="60"/>
      <c r="BP95" s="67"/>
      <c r="BQ95" s="43"/>
      <c r="BR95" s="110"/>
      <c r="BS95" s="110"/>
      <c r="BT95" s="110"/>
      <c r="BU95" s="110"/>
      <c r="BV95" s="110"/>
      <c r="BW95" s="110"/>
      <c r="BX95" s="110"/>
      <c r="BY95" s="110"/>
      <c r="BZ95" s="110"/>
      <c r="CA95" s="110"/>
      <c r="CB95" s="110"/>
      <c r="CC95" s="110"/>
      <c r="CD95" s="110"/>
      <c r="CE95" s="110"/>
      <c r="CF95" s="110"/>
      <c r="CG95" s="110"/>
      <c r="CH95" s="110"/>
      <c r="CI95" s="110"/>
      <c r="CJ95" s="110"/>
      <c r="CK95" s="110"/>
      <c r="CL95" s="110"/>
      <c r="CM95" s="110"/>
      <c r="CN95" s="110"/>
      <c r="CO95" s="110"/>
      <c r="CP95" s="110"/>
      <c r="CQ95" s="110"/>
      <c r="CR95" s="110"/>
      <c r="CS95" s="110"/>
      <c r="CT95" s="110"/>
      <c r="CU95" s="110"/>
      <c r="CV95" s="110"/>
      <c r="CW95" s="110"/>
      <c r="CX95" s="110"/>
    </row>
    <row r="96" spans="1:102" s="64" customFormat="1" x14ac:dyDescent="0.3">
      <c r="A96" s="110"/>
      <c r="B96" s="413"/>
      <c r="C96" s="156"/>
      <c r="D96" s="110"/>
      <c r="E96" s="156"/>
      <c r="F96" s="156"/>
      <c r="G96" s="680">
        <v>8</v>
      </c>
      <c r="H96" s="681">
        <f t="shared" si="206"/>
        <v>46197.756944444445</v>
      </c>
      <c r="I96" s="469">
        <f t="shared" ref="I96:I99" si="222">AS64</f>
        <v>1073</v>
      </c>
      <c r="J96" s="467">
        <f t="shared" ref="J96" si="223">BA64</f>
        <v>1073</v>
      </c>
      <c r="K96" s="468">
        <f t="shared" ref="K96" si="224">BF64</f>
        <v>1073</v>
      </c>
      <c r="L96" s="469">
        <f t="shared" ref="L96" si="225">BL64</f>
        <v>1063</v>
      </c>
      <c r="M96" s="470">
        <f t="shared" ref="M96" si="226">BP64</f>
        <v>1517</v>
      </c>
      <c r="N96" s="469"/>
      <c r="O96" s="522">
        <v>1084</v>
      </c>
      <c r="P96" s="522">
        <v>994</v>
      </c>
      <c r="Q96" s="522">
        <v>781</v>
      </c>
      <c r="R96" s="522">
        <v>882</v>
      </c>
      <c r="S96" s="469">
        <v>792</v>
      </c>
      <c r="T96" s="522">
        <v>1005</v>
      </c>
      <c r="U96" s="522">
        <v>652</v>
      </c>
      <c r="V96" s="522">
        <v>687</v>
      </c>
      <c r="W96" s="522">
        <v>476</v>
      </c>
      <c r="X96" s="522">
        <v>308</v>
      </c>
      <c r="Y96" s="470">
        <v>539</v>
      </c>
      <c r="Z96" s="213">
        <v>325</v>
      </c>
      <c r="AA96" s="133">
        <v>287</v>
      </c>
      <c r="AB96" s="133">
        <v>134</v>
      </c>
      <c r="AC96" s="222">
        <v>234</v>
      </c>
      <c r="AD96" s="213">
        <v>136</v>
      </c>
      <c r="AE96" s="133">
        <v>253</v>
      </c>
      <c r="AF96" s="133"/>
      <c r="AG96" s="222">
        <v>1720</v>
      </c>
      <c r="AH96" s="405"/>
      <c r="AI96" s="405"/>
      <c r="AJ96" s="431"/>
      <c r="AK96" s="405"/>
      <c r="AL96" s="405"/>
      <c r="AM96" s="405"/>
      <c r="AN96" s="405"/>
      <c r="AO96" s="405"/>
      <c r="AP96" s="41"/>
      <c r="AQ96" s="405"/>
      <c r="AR96" s="405"/>
      <c r="AS96" s="816"/>
      <c r="AT96" s="817"/>
      <c r="AU96" s="414"/>
      <c r="AV96" s="60"/>
      <c r="AW96" s="816"/>
      <c r="AX96" s="62"/>
      <c r="AY96" s="62"/>
      <c r="AZ96" s="60"/>
      <c r="BA96" s="67"/>
      <c r="BB96" s="817"/>
      <c r="BC96" s="817"/>
      <c r="BD96" s="67"/>
      <c r="BE96" s="60"/>
      <c r="BF96" s="415"/>
      <c r="BG96" s="817"/>
      <c r="BH96" s="817"/>
      <c r="BI96" s="67"/>
      <c r="BJ96" s="60"/>
      <c r="BK96" s="60"/>
      <c r="BL96" s="67"/>
      <c r="BM96" s="43"/>
      <c r="BN96" s="60"/>
      <c r="BO96" s="60"/>
      <c r="BP96" s="67"/>
      <c r="BQ96" s="43"/>
      <c r="BR96" s="110"/>
      <c r="BS96" s="110"/>
      <c r="BT96" s="110"/>
      <c r="BU96" s="110"/>
      <c r="BV96" s="110"/>
      <c r="BW96" s="110"/>
      <c r="BX96" s="110"/>
      <c r="BY96" s="110"/>
      <c r="BZ96" s="110"/>
      <c r="CA96" s="110"/>
      <c r="CB96" s="110"/>
      <c r="CC96" s="110"/>
      <c r="CD96" s="110"/>
      <c r="CE96" s="110"/>
      <c r="CF96" s="110"/>
      <c r="CG96" s="110"/>
      <c r="CH96" s="110"/>
      <c r="CI96" s="110"/>
      <c r="CJ96" s="110"/>
      <c r="CK96" s="110"/>
      <c r="CL96" s="110"/>
      <c r="CM96" s="110"/>
      <c r="CN96" s="110"/>
      <c r="CO96" s="110"/>
      <c r="CP96" s="110"/>
      <c r="CQ96" s="110"/>
      <c r="CR96" s="110"/>
      <c r="CS96" s="110"/>
      <c r="CT96" s="110"/>
      <c r="CU96" s="110"/>
      <c r="CV96" s="110"/>
      <c r="CW96" s="110"/>
      <c r="CX96" s="110"/>
    </row>
    <row r="97" spans="1:102" s="64" customFormat="1" x14ac:dyDescent="0.3">
      <c r="A97" s="110"/>
      <c r="B97" s="413"/>
      <c r="C97" s="156"/>
      <c r="D97" s="110"/>
      <c r="E97" s="156"/>
      <c r="F97" s="156"/>
      <c r="G97" s="680">
        <v>9</v>
      </c>
      <c r="H97" s="681">
        <f t="shared" si="206"/>
        <v>46198.770138888889</v>
      </c>
      <c r="I97" s="469">
        <f t="shared" si="222"/>
        <v>1138</v>
      </c>
      <c r="J97" s="467">
        <f t="shared" si="208"/>
        <v>1138</v>
      </c>
      <c r="K97" s="468">
        <f t="shared" si="209"/>
        <v>1138</v>
      </c>
      <c r="L97" s="469">
        <f t="shared" si="210"/>
        <v>1083</v>
      </c>
      <c r="M97" s="470">
        <f t="shared" si="211"/>
        <v>1609</v>
      </c>
      <c r="N97" s="469"/>
      <c r="O97" s="522">
        <v>1112</v>
      </c>
      <c r="P97" s="522">
        <v>1040</v>
      </c>
      <c r="Q97" s="522">
        <v>821</v>
      </c>
      <c r="R97" s="522">
        <v>905</v>
      </c>
      <c r="S97" s="469">
        <v>851</v>
      </c>
      <c r="T97" s="522">
        <v>1033</v>
      </c>
      <c r="U97" s="522">
        <v>686</v>
      </c>
      <c r="V97" s="522">
        <v>705</v>
      </c>
      <c r="W97" s="522">
        <v>524</v>
      </c>
      <c r="X97" s="522">
        <v>329</v>
      </c>
      <c r="Y97" s="470">
        <v>551</v>
      </c>
      <c r="Z97" s="213">
        <v>350</v>
      </c>
      <c r="AA97" s="133">
        <v>324</v>
      </c>
      <c r="AB97" s="133">
        <v>138</v>
      </c>
      <c r="AC97" s="222">
        <v>240</v>
      </c>
      <c r="AD97" s="213">
        <v>142</v>
      </c>
      <c r="AE97" s="133">
        <v>267</v>
      </c>
      <c r="AF97" s="133"/>
      <c r="AG97" s="222">
        <v>1765</v>
      </c>
      <c r="AH97" s="405"/>
      <c r="AI97" s="405"/>
      <c r="AJ97" s="431"/>
      <c r="AK97" s="405"/>
      <c r="AL97" s="405"/>
      <c r="AM97" s="405"/>
      <c r="AN97" s="405"/>
      <c r="AO97" s="405"/>
      <c r="AP97" s="41"/>
      <c r="AQ97" s="405"/>
      <c r="AR97" s="405"/>
      <c r="AS97" s="816"/>
      <c r="AT97" s="817"/>
      <c r="AU97" s="414"/>
      <c r="AV97" s="60"/>
      <c r="AW97" s="816"/>
      <c r="AX97" s="62"/>
      <c r="AY97" s="62"/>
      <c r="AZ97" s="60"/>
      <c r="BA97" s="67"/>
      <c r="BB97" s="817"/>
      <c r="BC97" s="817"/>
      <c r="BD97" s="67"/>
      <c r="BE97" s="60"/>
      <c r="BF97" s="415"/>
      <c r="BG97" s="817"/>
      <c r="BH97" s="817"/>
      <c r="BI97" s="67"/>
      <c r="BJ97" s="60"/>
      <c r="BK97" s="60"/>
      <c r="BL97" s="67"/>
      <c r="BM97" s="43"/>
      <c r="BN97" s="60"/>
      <c r="BO97" s="60"/>
      <c r="BP97" s="67"/>
      <c r="BQ97" s="43"/>
      <c r="BR97" s="110"/>
      <c r="BS97" s="110"/>
      <c r="BT97" s="110"/>
      <c r="BU97" s="110"/>
      <c r="BV97" s="110"/>
      <c r="BW97" s="110"/>
      <c r="BX97" s="110"/>
      <c r="BY97" s="110"/>
      <c r="BZ97" s="110"/>
      <c r="CA97" s="110"/>
      <c r="CB97" s="110"/>
      <c r="CC97" s="110"/>
      <c r="CD97" s="110"/>
      <c r="CE97" s="110"/>
      <c r="CF97" s="110"/>
      <c r="CG97" s="110"/>
      <c r="CH97" s="110"/>
      <c r="CI97" s="110"/>
      <c r="CJ97" s="110"/>
      <c r="CK97" s="110"/>
      <c r="CL97" s="110"/>
      <c r="CM97" s="110"/>
      <c r="CN97" s="110"/>
      <c r="CO97" s="110"/>
      <c r="CP97" s="110"/>
      <c r="CQ97" s="110"/>
      <c r="CR97" s="110"/>
      <c r="CS97" s="110"/>
      <c r="CT97" s="110"/>
      <c r="CU97" s="110"/>
      <c r="CV97" s="110"/>
      <c r="CW97" s="110"/>
      <c r="CX97" s="110"/>
    </row>
    <row r="98" spans="1:102" s="64" customFormat="1" x14ac:dyDescent="0.3">
      <c r="A98" s="110"/>
      <c r="B98" s="413"/>
      <c r="C98" s="156"/>
      <c r="D98" s="110"/>
      <c r="E98" s="156"/>
      <c r="F98" s="156"/>
      <c r="G98" s="680">
        <v>10</v>
      </c>
      <c r="H98" s="681">
        <f t="shared" si="206"/>
        <v>46199.75</v>
      </c>
      <c r="I98" s="469">
        <f t="shared" si="222"/>
        <v>1182</v>
      </c>
      <c r="J98" s="467">
        <f t="shared" si="208"/>
        <v>1182</v>
      </c>
      <c r="K98" s="468">
        <f t="shared" si="209"/>
        <v>1182</v>
      </c>
      <c r="L98" s="469">
        <f t="shared" si="210"/>
        <v>1109</v>
      </c>
      <c r="M98" s="470">
        <f t="shared" si="211"/>
        <v>1701</v>
      </c>
      <c r="N98" s="469"/>
      <c r="O98" s="522">
        <v>1140</v>
      </c>
      <c r="P98" s="522">
        <v>1073</v>
      </c>
      <c r="Q98" s="522">
        <v>858</v>
      </c>
      <c r="R98" s="522">
        <v>957</v>
      </c>
      <c r="S98" s="469">
        <v>893</v>
      </c>
      <c r="T98" s="522">
        <v>1053</v>
      </c>
      <c r="U98" s="522">
        <v>693</v>
      </c>
      <c r="V98" s="522">
        <v>727</v>
      </c>
      <c r="W98" s="522">
        <v>564</v>
      </c>
      <c r="X98" s="522">
        <v>350</v>
      </c>
      <c r="Y98" s="470">
        <v>565</v>
      </c>
      <c r="Z98" s="213">
        <v>369</v>
      </c>
      <c r="AA98" s="133">
        <v>336</v>
      </c>
      <c r="AB98" s="133">
        <v>143</v>
      </c>
      <c r="AC98" s="222">
        <v>250</v>
      </c>
      <c r="AD98" s="213">
        <v>161</v>
      </c>
      <c r="AE98" s="133">
        <v>282</v>
      </c>
      <c r="AF98" s="133"/>
      <c r="AG98" s="222">
        <v>1797</v>
      </c>
      <c r="AH98" s="405"/>
      <c r="AI98" s="405"/>
      <c r="AJ98" s="431"/>
      <c r="AK98" s="405"/>
      <c r="AL98" s="405"/>
      <c r="AM98" s="405"/>
      <c r="AN98" s="405"/>
      <c r="AO98" s="405"/>
      <c r="AP98" s="41"/>
      <c r="AQ98" s="405"/>
      <c r="AR98" s="405"/>
      <c r="AS98" s="816"/>
      <c r="AT98" s="817"/>
      <c r="AU98" s="414"/>
      <c r="AV98" s="60"/>
      <c r="AW98" s="816"/>
      <c r="AX98" s="62"/>
      <c r="AY98" s="62"/>
      <c r="AZ98" s="60"/>
      <c r="BA98" s="67"/>
      <c r="BB98" s="817"/>
      <c r="BC98" s="817"/>
      <c r="BD98" s="67"/>
      <c r="BE98" s="60"/>
      <c r="BF98" s="415"/>
      <c r="BG98" s="817"/>
      <c r="BH98" s="817"/>
      <c r="BI98" s="67"/>
      <c r="BJ98" s="60"/>
      <c r="BK98" s="60"/>
      <c r="BL98" s="67"/>
      <c r="BM98" s="43"/>
      <c r="BN98" s="60"/>
      <c r="BO98" s="60"/>
      <c r="BP98" s="67"/>
      <c r="BQ98" s="43"/>
      <c r="BR98" s="110"/>
      <c r="BS98" s="110"/>
      <c r="BT98" s="110"/>
      <c r="BU98" s="110"/>
      <c r="BV98" s="110"/>
      <c r="BW98" s="110"/>
      <c r="BX98" s="110"/>
      <c r="BY98" s="110"/>
      <c r="BZ98" s="110"/>
      <c r="CA98" s="110"/>
      <c r="CB98" s="110"/>
      <c r="CC98" s="110"/>
      <c r="CD98" s="110"/>
      <c r="CE98" s="110"/>
      <c r="CF98" s="110"/>
      <c r="CG98" s="110"/>
      <c r="CH98" s="110"/>
      <c r="CI98" s="110"/>
      <c r="CJ98" s="110"/>
      <c r="CK98" s="110"/>
      <c r="CL98" s="110"/>
      <c r="CM98" s="110"/>
      <c r="CN98" s="110"/>
      <c r="CO98" s="110"/>
      <c r="CP98" s="110"/>
      <c r="CQ98" s="110"/>
      <c r="CR98" s="110"/>
      <c r="CS98" s="110"/>
      <c r="CT98" s="110"/>
      <c r="CU98" s="110"/>
      <c r="CV98" s="110"/>
      <c r="CW98" s="110"/>
      <c r="CX98" s="110"/>
    </row>
    <row r="99" spans="1:102" s="64" customFormat="1" x14ac:dyDescent="0.3">
      <c r="A99" s="110"/>
      <c r="B99" s="413"/>
      <c r="C99" s="156"/>
      <c r="D99" s="110"/>
      <c r="E99" s="156"/>
      <c r="F99" s="156"/>
      <c r="G99" s="680">
        <v>11</v>
      </c>
      <c r="H99" s="681">
        <f t="shared" si="206"/>
        <v>46200.841666666667</v>
      </c>
      <c r="I99" s="469">
        <f t="shared" si="222"/>
        <v>1209</v>
      </c>
      <c r="J99" s="467">
        <f t="shared" si="208"/>
        <v>1209</v>
      </c>
      <c r="K99" s="468">
        <f t="shared" si="209"/>
        <v>1209</v>
      </c>
      <c r="L99" s="469">
        <f t="shared" si="210"/>
        <v>1145</v>
      </c>
      <c r="M99" s="470">
        <f t="shared" si="211"/>
        <v>1777</v>
      </c>
      <c r="N99" s="469">
        <v>900</v>
      </c>
      <c r="O99" s="522">
        <v>1163</v>
      </c>
      <c r="P99" s="522">
        <v>1104</v>
      </c>
      <c r="Q99" s="522">
        <v>877</v>
      </c>
      <c r="R99" s="522">
        <v>989</v>
      </c>
      <c r="S99" s="469">
        <v>935</v>
      </c>
      <c r="T99" s="522">
        <v>1080</v>
      </c>
      <c r="U99" s="522">
        <v>716</v>
      </c>
      <c r="V99" s="522">
        <v>753</v>
      </c>
      <c r="W99" s="522">
        <v>596</v>
      </c>
      <c r="X99" s="522">
        <v>356</v>
      </c>
      <c r="Y99" s="470">
        <v>582</v>
      </c>
      <c r="Z99" s="213">
        <v>386</v>
      </c>
      <c r="AA99" s="133">
        <v>345</v>
      </c>
      <c r="AB99" s="133">
        <v>150</v>
      </c>
      <c r="AC99" s="222">
        <v>256</v>
      </c>
      <c r="AD99" s="213">
        <v>178</v>
      </c>
      <c r="AE99" s="133">
        <v>291</v>
      </c>
      <c r="AF99" s="133"/>
      <c r="AG99" s="222">
        <v>1830</v>
      </c>
      <c r="AH99" s="405"/>
      <c r="AI99" s="405"/>
      <c r="AJ99" s="431"/>
      <c r="AK99" s="405"/>
      <c r="AL99" s="405"/>
      <c r="AM99" s="405"/>
      <c r="AN99" s="405"/>
      <c r="AO99" s="405"/>
      <c r="AP99" s="41"/>
      <c r="AQ99" s="405"/>
      <c r="AR99" s="405"/>
      <c r="AS99" s="816"/>
      <c r="AT99" s="817"/>
      <c r="AU99" s="414"/>
      <c r="AV99" s="60"/>
      <c r="AW99" s="816"/>
      <c r="AX99" s="62"/>
      <c r="AY99" s="62"/>
      <c r="AZ99" s="60"/>
      <c r="BA99" s="67"/>
      <c r="BB99" s="817"/>
      <c r="BC99" s="817"/>
      <c r="BD99" s="67"/>
      <c r="BE99" s="60"/>
      <c r="BF99" s="415"/>
      <c r="BG99" s="817"/>
      <c r="BH99" s="817"/>
      <c r="BI99" s="67"/>
      <c r="BJ99" s="60"/>
      <c r="BK99" s="60"/>
      <c r="BL99" s="67"/>
      <c r="BM99" s="43"/>
      <c r="BN99" s="60"/>
      <c r="BO99" s="60"/>
      <c r="BP99" s="67"/>
      <c r="BQ99" s="43"/>
      <c r="BR99" s="110"/>
      <c r="BS99" s="110"/>
      <c r="BT99" s="110"/>
      <c r="BU99" s="110"/>
      <c r="BV99" s="110"/>
      <c r="BW99" s="110"/>
      <c r="BX99" s="110"/>
      <c r="BY99" s="110"/>
      <c r="BZ99" s="110"/>
      <c r="CA99" s="110"/>
      <c r="CB99" s="110"/>
      <c r="CC99" s="110"/>
      <c r="CD99" s="110"/>
      <c r="CE99" s="110"/>
      <c r="CF99" s="110"/>
      <c r="CG99" s="110"/>
      <c r="CH99" s="110"/>
      <c r="CI99" s="110"/>
      <c r="CJ99" s="110"/>
      <c r="CK99" s="110"/>
      <c r="CL99" s="110"/>
      <c r="CM99" s="110"/>
      <c r="CN99" s="110"/>
      <c r="CO99" s="110"/>
      <c r="CP99" s="110"/>
      <c r="CQ99" s="110"/>
      <c r="CR99" s="110"/>
      <c r="CS99" s="110"/>
      <c r="CT99" s="110"/>
      <c r="CU99" s="110"/>
      <c r="CV99" s="110"/>
      <c r="CW99" s="110"/>
      <c r="CX99" s="110"/>
    </row>
    <row r="100" spans="1:102" s="64" customFormat="1" x14ac:dyDescent="0.3">
      <c r="A100" s="110"/>
      <c r="B100" s="413"/>
      <c r="C100" s="156"/>
      <c r="D100" s="110"/>
      <c r="E100" s="156"/>
      <c r="F100" s="156"/>
      <c r="G100" s="680">
        <v>12</v>
      </c>
      <c r="H100" s="681">
        <f t="shared" si="206"/>
        <v>46201.93472222222</v>
      </c>
      <c r="I100" s="469">
        <f t="shared" si="207"/>
        <v>1245</v>
      </c>
      <c r="J100" s="467">
        <f t="shared" si="208"/>
        <v>1245</v>
      </c>
      <c r="K100" s="468">
        <f t="shared" si="209"/>
        <v>1245</v>
      </c>
      <c r="L100" s="469">
        <f t="shared" si="210"/>
        <v>1165</v>
      </c>
      <c r="M100" s="470">
        <f t="shared" si="211"/>
        <v>1863</v>
      </c>
      <c r="N100" s="469"/>
      <c r="O100" s="522">
        <v>1189</v>
      </c>
      <c r="P100" s="522">
        <v>1137</v>
      </c>
      <c r="Q100" s="522">
        <v>901</v>
      </c>
      <c r="R100" s="522">
        <v>1026</v>
      </c>
      <c r="S100" s="469">
        <v>976</v>
      </c>
      <c r="T100" s="522">
        <v>1103</v>
      </c>
      <c r="U100" s="522">
        <v>732</v>
      </c>
      <c r="V100" s="522">
        <v>775</v>
      </c>
      <c r="W100" s="522">
        <v>624</v>
      </c>
      <c r="X100" s="522">
        <v>371</v>
      </c>
      <c r="Y100" s="470">
        <v>598</v>
      </c>
      <c r="Z100" s="213">
        <v>395</v>
      </c>
      <c r="AA100" s="133">
        <v>361</v>
      </c>
      <c r="AB100" s="133">
        <v>154</v>
      </c>
      <c r="AC100" s="222">
        <v>270</v>
      </c>
      <c r="AD100" s="213">
        <v>193</v>
      </c>
      <c r="AE100" s="133">
        <v>311</v>
      </c>
      <c r="AF100" s="133"/>
      <c r="AG100" s="222">
        <v>1863</v>
      </c>
      <c r="AH100" s="405"/>
      <c r="AI100" s="405"/>
      <c r="AJ100" s="431"/>
      <c r="AK100" s="405"/>
      <c r="AL100" s="405"/>
      <c r="AM100" s="405"/>
      <c r="AN100" s="405"/>
      <c r="AO100" s="405"/>
      <c r="AP100" s="41"/>
      <c r="AQ100" s="405"/>
      <c r="AR100" s="405"/>
      <c r="AS100" s="816"/>
      <c r="AT100" s="817"/>
      <c r="AU100" s="414"/>
      <c r="AV100" s="60"/>
      <c r="AW100" s="816"/>
      <c r="AX100" s="62"/>
      <c r="AY100" s="62"/>
      <c r="AZ100" s="60"/>
      <c r="BA100" s="67"/>
      <c r="BB100" s="817"/>
      <c r="BC100" s="817"/>
      <c r="BD100" s="67"/>
      <c r="BE100" s="60"/>
      <c r="BF100" s="415"/>
      <c r="BG100" s="817"/>
      <c r="BH100" s="817"/>
      <c r="BI100" s="67"/>
      <c r="BJ100" s="60"/>
      <c r="BK100" s="60"/>
      <c r="BL100" s="67"/>
      <c r="BM100" s="43"/>
      <c r="BN100" s="60"/>
      <c r="BO100" s="60"/>
      <c r="BP100" s="67"/>
      <c r="BQ100" s="43"/>
      <c r="BR100" s="110"/>
      <c r="BS100" s="110"/>
      <c r="BT100" s="110"/>
      <c r="BU100" s="110"/>
      <c r="BV100" s="110"/>
      <c r="BW100" s="110"/>
      <c r="BX100" s="110"/>
      <c r="BY100" s="110"/>
      <c r="BZ100" s="110"/>
      <c r="CA100" s="110"/>
      <c r="CB100" s="110"/>
      <c r="CC100" s="110"/>
      <c r="CD100" s="110"/>
      <c r="CE100" s="110"/>
      <c r="CF100" s="110"/>
      <c r="CG100" s="110"/>
      <c r="CH100" s="110"/>
      <c r="CI100" s="110"/>
      <c r="CJ100" s="110"/>
      <c r="CK100" s="110"/>
      <c r="CL100" s="110"/>
      <c r="CM100" s="110"/>
      <c r="CN100" s="110"/>
      <c r="CO100" s="110"/>
      <c r="CP100" s="110"/>
      <c r="CQ100" s="110"/>
      <c r="CR100" s="110"/>
      <c r="CS100" s="110"/>
      <c r="CT100" s="110"/>
      <c r="CU100" s="110"/>
      <c r="CV100" s="110"/>
      <c r="CW100" s="110"/>
      <c r="CX100" s="110"/>
    </row>
    <row r="101" spans="1:102" s="64" customFormat="1" x14ac:dyDescent="0.3">
      <c r="A101" s="110"/>
      <c r="B101" s="413"/>
      <c r="C101" s="156"/>
      <c r="D101" s="110"/>
      <c r="E101" s="156"/>
      <c r="F101" s="156"/>
      <c r="G101" s="680">
        <v>13</v>
      </c>
      <c r="H101" s="681">
        <f t="shared" si="206"/>
        <v>46202.75</v>
      </c>
      <c r="I101" s="469">
        <f t="shared" si="207"/>
        <v>1267</v>
      </c>
      <c r="J101" s="467">
        <f t="shared" si="208"/>
        <v>1267</v>
      </c>
      <c r="K101" s="468">
        <f t="shared" si="209"/>
        <v>1267</v>
      </c>
      <c r="L101" s="469">
        <f t="shared" si="210"/>
        <v>1170</v>
      </c>
      <c r="M101" s="470">
        <f t="shared" si="211"/>
        <v>1916</v>
      </c>
      <c r="N101" s="469"/>
      <c r="O101" s="522">
        <v>1205</v>
      </c>
      <c r="P101" s="522">
        <v>1159</v>
      </c>
      <c r="Q101" s="522">
        <v>929</v>
      </c>
      <c r="R101" s="522">
        <v>1068</v>
      </c>
      <c r="S101" s="469">
        <v>1011</v>
      </c>
      <c r="T101" s="522">
        <v>1127</v>
      </c>
      <c r="U101" s="522">
        <v>753</v>
      </c>
      <c r="V101" s="522">
        <v>789</v>
      </c>
      <c r="W101" s="522">
        <v>656</v>
      </c>
      <c r="X101" s="522">
        <v>386</v>
      </c>
      <c r="Y101" s="470">
        <v>624</v>
      </c>
      <c r="Z101" s="213">
        <v>410</v>
      </c>
      <c r="AA101" s="133">
        <v>375</v>
      </c>
      <c r="AB101" s="133">
        <v>155</v>
      </c>
      <c r="AC101" s="222">
        <v>282</v>
      </c>
      <c r="AD101" s="213">
        <v>197</v>
      </c>
      <c r="AE101" s="133">
        <v>319</v>
      </c>
      <c r="AF101" s="133"/>
      <c r="AG101" s="222">
        <v>1895</v>
      </c>
      <c r="AH101" s="405"/>
      <c r="AI101" s="405"/>
      <c r="AJ101" s="431"/>
      <c r="AK101" s="405"/>
      <c r="AL101" s="405"/>
      <c r="AM101" s="405"/>
      <c r="AN101" s="405"/>
      <c r="AO101" s="405"/>
      <c r="AP101" s="41"/>
      <c r="AQ101" s="405"/>
      <c r="AR101" s="405"/>
      <c r="AS101" s="816"/>
      <c r="AT101" s="817"/>
      <c r="AU101" s="414"/>
      <c r="AV101" s="60"/>
      <c r="AW101" s="816"/>
      <c r="AX101" s="62"/>
      <c r="AY101" s="62"/>
      <c r="AZ101" s="60"/>
      <c r="BA101" s="67"/>
      <c r="BB101" s="817"/>
      <c r="BC101" s="817"/>
      <c r="BD101" s="67"/>
      <c r="BE101" s="60"/>
      <c r="BF101" s="415"/>
      <c r="BG101" s="817"/>
      <c r="BH101" s="817"/>
      <c r="BI101" s="67"/>
      <c r="BJ101" s="60"/>
      <c r="BK101" s="60"/>
      <c r="BL101" s="67"/>
      <c r="BM101" s="43"/>
      <c r="BN101" s="60"/>
      <c r="BO101" s="60"/>
      <c r="BP101" s="67"/>
      <c r="BQ101" s="43"/>
      <c r="BR101" s="110"/>
      <c r="BS101" s="110"/>
      <c r="BT101" s="110"/>
      <c r="BU101" s="110"/>
      <c r="BV101" s="110"/>
      <c r="BW101" s="110"/>
      <c r="BX101" s="110"/>
      <c r="BY101" s="110"/>
      <c r="BZ101" s="110"/>
      <c r="CA101" s="110"/>
      <c r="CB101" s="110"/>
      <c r="CC101" s="110"/>
      <c r="CD101" s="110"/>
      <c r="CE101" s="110"/>
      <c r="CF101" s="110"/>
      <c r="CG101" s="110"/>
      <c r="CH101" s="110"/>
      <c r="CI101" s="110"/>
      <c r="CJ101" s="110"/>
      <c r="CK101" s="110"/>
      <c r="CL101" s="110"/>
      <c r="CM101" s="110"/>
      <c r="CN101" s="110"/>
      <c r="CO101" s="110"/>
      <c r="CP101" s="110"/>
      <c r="CQ101" s="110"/>
      <c r="CR101" s="110"/>
      <c r="CS101" s="110"/>
      <c r="CT101" s="110"/>
      <c r="CU101" s="110"/>
      <c r="CV101" s="110"/>
      <c r="CW101" s="110"/>
      <c r="CX101" s="110"/>
    </row>
    <row r="102" spans="1:102" s="64" customFormat="1" x14ac:dyDescent="0.3">
      <c r="A102" s="110"/>
      <c r="B102" s="413"/>
      <c r="C102" s="156"/>
      <c r="D102" s="110"/>
      <c r="E102" s="156"/>
      <c r="F102" s="156"/>
      <c r="G102" s="680">
        <v>14</v>
      </c>
      <c r="H102" s="681">
        <f t="shared" si="206"/>
        <v>46203.752083333333</v>
      </c>
      <c r="I102" s="469">
        <f t="shared" si="207"/>
        <v>1314</v>
      </c>
      <c r="J102" s="467">
        <f t="shared" si="208"/>
        <v>1314</v>
      </c>
      <c r="K102" s="468">
        <f t="shared" si="209"/>
        <v>1314</v>
      </c>
      <c r="L102" s="469">
        <f t="shared" si="210"/>
        <v>1190</v>
      </c>
      <c r="M102" s="470">
        <f t="shared" si="211"/>
        <v>2005</v>
      </c>
      <c r="N102" s="469"/>
      <c r="O102" s="522">
        <v>1232</v>
      </c>
      <c r="P102" s="522">
        <v>1207</v>
      </c>
      <c r="Q102" s="522">
        <v>966</v>
      </c>
      <c r="R102" s="522">
        <v>1115</v>
      </c>
      <c r="S102" s="469">
        <v>1060</v>
      </c>
      <c r="T102" s="522">
        <v>1165</v>
      </c>
      <c r="U102" s="522">
        <v>796</v>
      </c>
      <c r="V102" s="522">
        <v>806</v>
      </c>
      <c r="W102" s="522">
        <v>696</v>
      </c>
      <c r="X102" s="522">
        <v>403</v>
      </c>
      <c r="Y102" s="470">
        <v>650</v>
      </c>
      <c r="Z102" s="213">
        <v>417</v>
      </c>
      <c r="AA102" s="133">
        <v>395</v>
      </c>
      <c r="AB102" s="133">
        <v>159</v>
      </c>
      <c r="AC102" s="222">
        <v>294</v>
      </c>
      <c r="AD102" s="213">
        <v>205</v>
      </c>
      <c r="AE102" s="133">
        <v>330</v>
      </c>
      <c r="AF102" s="133"/>
      <c r="AG102" s="222">
        <v>1928</v>
      </c>
      <c r="AH102" s="405"/>
      <c r="AI102" s="405"/>
      <c r="AJ102" s="431"/>
      <c r="AK102" s="405"/>
      <c r="AL102" s="405"/>
      <c r="AM102" s="405"/>
      <c r="AN102" s="405"/>
      <c r="AO102" s="405"/>
      <c r="AP102" s="41"/>
      <c r="AQ102" s="405"/>
      <c r="AR102" s="405"/>
      <c r="AS102" s="816"/>
      <c r="AT102" s="817"/>
      <c r="AU102" s="414"/>
      <c r="AV102" s="60"/>
      <c r="AW102" s="816"/>
      <c r="AX102" s="62"/>
      <c r="AY102" s="62"/>
      <c r="AZ102" s="60"/>
      <c r="BA102" s="67"/>
      <c r="BB102" s="817"/>
      <c r="BC102" s="817"/>
      <c r="BD102" s="67"/>
      <c r="BE102" s="60"/>
      <c r="BF102" s="415"/>
      <c r="BG102" s="817"/>
      <c r="BH102" s="817"/>
      <c r="BI102" s="67"/>
      <c r="BJ102" s="60"/>
      <c r="BK102" s="60"/>
      <c r="BL102" s="67"/>
      <c r="BM102" s="43"/>
      <c r="BN102" s="60"/>
      <c r="BO102" s="60"/>
      <c r="BP102" s="67"/>
      <c r="BQ102" s="43"/>
      <c r="BR102" s="110"/>
      <c r="BS102" s="110"/>
      <c r="BT102" s="110"/>
      <c r="BU102" s="110"/>
      <c r="BV102" s="110"/>
      <c r="BW102" s="110"/>
      <c r="BX102" s="110"/>
      <c r="BY102" s="110"/>
      <c r="BZ102" s="110"/>
      <c r="CA102" s="110"/>
      <c r="CB102" s="110"/>
      <c r="CC102" s="110"/>
      <c r="CD102" s="110"/>
      <c r="CE102" s="110"/>
      <c r="CF102" s="110"/>
      <c r="CG102" s="110"/>
      <c r="CH102" s="110"/>
      <c r="CI102" s="110"/>
      <c r="CJ102" s="110"/>
      <c r="CK102" s="110"/>
      <c r="CL102" s="110"/>
      <c r="CM102" s="110"/>
      <c r="CN102" s="110"/>
      <c r="CO102" s="110"/>
      <c r="CP102" s="110"/>
      <c r="CQ102" s="110"/>
      <c r="CR102" s="110"/>
      <c r="CS102" s="110"/>
      <c r="CT102" s="110"/>
      <c r="CU102" s="110"/>
      <c r="CV102" s="110"/>
      <c r="CW102" s="110"/>
      <c r="CX102" s="110"/>
    </row>
    <row r="103" spans="1:102" s="64" customFormat="1" x14ac:dyDescent="0.3">
      <c r="A103" s="110"/>
      <c r="B103" s="413"/>
      <c r="C103" s="156"/>
      <c r="D103" s="110"/>
      <c r="E103" s="156"/>
      <c r="F103" s="156"/>
      <c r="G103" s="680">
        <v>15</v>
      </c>
      <c r="H103" s="681">
        <f t="shared" si="206"/>
        <v>46204.75</v>
      </c>
      <c r="I103" s="469">
        <f t="shared" si="207"/>
        <v>1376</v>
      </c>
      <c r="J103" s="467">
        <f t="shared" si="208"/>
        <v>1376</v>
      </c>
      <c r="K103" s="468">
        <f t="shared" si="209"/>
        <v>1376</v>
      </c>
      <c r="L103" s="469">
        <f t="shared" si="210"/>
        <v>1216</v>
      </c>
      <c r="M103" s="470">
        <f t="shared" si="211"/>
        <v>2272</v>
      </c>
      <c r="N103" s="469"/>
      <c r="O103" s="522">
        <v>1313</v>
      </c>
      <c r="P103" s="522">
        <v>1257</v>
      </c>
      <c r="Q103" s="522">
        <v>1013</v>
      </c>
      <c r="R103" s="522">
        <v>1170</v>
      </c>
      <c r="S103" s="469">
        <v>1096</v>
      </c>
      <c r="T103" s="522">
        <v>1187</v>
      </c>
      <c r="U103" s="522">
        <v>882</v>
      </c>
      <c r="V103" s="522">
        <v>825</v>
      </c>
      <c r="W103" s="522">
        <v>727</v>
      </c>
      <c r="X103" s="522">
        <v>422</v>
      </c>
      <c r="Y103" s="470">
        <v>690</v>
      </c>
      <c r="Z103" s="213">
        <v>427</v>
      </c>
      <c r="AA103" s="133">
        <v>415</v>
      </c>
      <c r="AB103" s="133">
        <v>164</v>
      </c>
      <c r="AC103" s="222">
        <v>308</v>
      </c>
      <c r="AD103" s="213">
        <v>214</v>
      </c>
      <c r="AE103" s="133">
        <v>337</v>
      </c>
      <c r="AF103" s="133"/>
      <c r="AG103" s="222">
        <v>1974</v>
      </c>
      <c r="AH103" s="405"/>
      <c r="AI103" s="405"/>
      <c r="AJ103" s="431"/>
      <c r="AK103" s="405"/>
      <c r="AL103" s="405"/>
      <c r="AM103" s="405"/>
      <c r="AN103" s="405"/>
      <c r="AO103" s="405"/>
      <c r="AP103" s="41"/>
      <c r="AQ103" s="405"/>
      <c r="AR103" s="405"/>
      <c r="AS103" s="816"/>
      <c r="AT103" s="817"/>
      <c r="AU103" s="414"/>
      <c r="AV103" s="60"/>
      <c r="AW103" s="816"/>
      <c r="AX103" s="62"/>
      <c r="AY103" s="62"/>
      <c r="AZ103" s="60"/>
      <c r="BA103" s="67"/>
      <c r="BB103" s="817"/>
      <c r="BC103" s="817"/>
      <c r="BD103" s="67"/>
      <c r="BE103" s="60"/>
      <c r="BF103" s="415"/>
      <c r="BG103" s="817"/>
      <c r="BH103" s="817"/>
      <c r="BI103" s="67"/>
      <c r="BJ103" s="60"/>
      <c r="BK103" s="60"/>
      <c r="BL103" s="67"/>
      <c r="BM103" s="43"/>
      <c r="BN103" s="60"/>
      <c r="BO103" s="60"/>
      <c r="BP103" s="67"/>
      <c r="BQ103" s="43"/>
      <c r="BR103" s="110"/>
      <c r="BS103" s="110"/>
      <c r="BT103" s="110"/>
      <c r="BU103" s="110"/>
      <c r="BV103" s="110"/>
      <c r="BW103" s="110"/>
      <c r="BX103" s="110"/>
      <c r="BY103" s="110"/>
      <c r="BZ103" s="110"/>
      <c r="CA103" s="110"/>
      <c r="CB103" s="110"/>
      <c r="CC103" s="110"/>
      <c r="CD103" s="110"/>
      <c r="CE103" s="110"/>
      <c r="CF103" s="110"/>
      <c r="CG103" s="110"/>
      <c r="CH103" s="110"/>
      <c r="CI103" s="110"/>
      <c r="CJ103" s="110"/>
      <c r="CK103" s="110"/>
      <c r="CL103" s="110"/>
      <c r="CM103" s="110"/>
      <c r="CN103" s="110"/>
      <c r="CO103" s="110"/>
      <c r="CP103" s="110"/>
      <c r="CQ103" s="110"/>
      <c r="CR103" s="110"/>
      <c r="CS103" s="110"/>
      <c r="CT103" s="110"/>
      <c r="CU103" s="110"/>
      <c r="CV103" s="110"/>
      <c r="CW103" s="110"/>
      <c r="CX103" s="110"/>
    </row>
    <row r="104" spans="1:102" s="64" customFormat="1" x14ac:dyDescent="0.3">
      <c r="A104" s="110"/>
      <c r="B104" s="413"/>
      <c r="C104" s="156"/>
      <c r="D104" s="110"/>
      <c r="E104" s="156"/>
      <c r="F104" s="156"/>
      <c r="G104" s="680">
        <v>16</v>
      </c>
      <c r="H104" s="681">
        <f t="shared" si="206"/>
        <v>46205.75</v>
      </c>
      <c r="I104" s="469">
        <f t="shared" si="207"/>
        <v>1410</v>
      </c>
      <c r="J104" s="467">
        <f t="shared" si="208"/>
        <v>1410</v>
      </c>
      <c r="K104" s="468">
        <f t="shared" si="209"/>
        <v>1410</v>
      </c>
      <c r="L104" s="469">
        <f t="shared" si="210"/>
        <v>1257</v>
      </c>
      <c r="M104" s="470">
        <f t="shared" si="211"/>
        <v>2394</v>
      </c>
      <c r="N104" s="469"/>
      <c r="O104" s="522">
        <v>1350</v>
      </c>
      <c r="P104" s="522">
        <v>1301</v>
      </c>
      <c r="Q104" s="522">
        <v>1049</v>
      </c>
      <c r="R104" s="522">
        <v>1216</v>
      </c>
      <c r="S104" s="469">
        <v>1134</v>
      </c>
      <c r="T104" s="522">
        <v>1242</v>
      </c>
      <c r="U104" s="522">
        <v>941</v>
      </c>
      <c r="V104" s="522">
        <v>836</v>
      </c>
      <c r="W104" s="522">
        <v>758</v>
      </c>
      <c r="X104" s="522">
        <v>445</v>
      </c>
      <c r="Y104" s="470">
        <v>729</v>
      </c>
      <c r="Z104" s="213">
        <v>444</v>
      </c>
      <c r="AA104" s="133">
        <v>438</v>
      </c>
      <c r="AB104" s="133">
        <v>172</v>
      </c>
      <c r="AC104" s="222">
        <v>319</v>
      </c>
      <c r="AD104" s="213">
        <v>224</v>
      </c>
      <c r="AE104" s="133">
        <v>349</v>
      </c>
      <c r="AF104" s="133"/>
      <c r="AG104" s="222">
        <v>2039</v>
      </c>
      <c r="AH104" s="405"/>
      <c r="AI104" s="405"/>
      <c r="AJ104" s="431"/>
      <c r="AK104" s="405"/>
      <c r="AL104" s="405"/>
      <c r="AM104" s="405"/>
      <c r="AN104" s="405"/>
      <c r="AO104" s="405"/>
      <c r="AP104" s="41"/>
      <c r="AQ104" s="405"/>
      <c r="AR104" s="405"/>
      <c r="AS104" s="816"/>
      <c r="AT104" s="817"/>
      <c r="AU104" s="414"/>
      <c r="AV104" s="60"/>
      <c r="AW104" s="816"/>
      <c r="AX104" s="62"/>
      <c r="AY104" s="62"/>
      <c r="AZ104" s="60"/>
      <c r="BA104" s="67"/>
      <c r="BB104" s="817"/>
      <c r="BC104" s="817"/>
      <c r="BD104" s="67"/>
      <c r="BE104" s="60"/>
      <c r="BF104" s="415"/>
      <c r="BG104" s="817"/>
      <c r="BH104" s="817"/>
      <c r="BI104" s="67"/>
      <c r="BJ104" s="60"/>
      <c r="BK104" s="60"/>
      <c r="BL104" s="67"/>
      <c r="BM104" s="43"/>
      <c r="BN104" s="60"/>
      <c r="BO104" s="60"/>
      <c r="BP104" s="67"/>
      <c r="BQ104" s="43"/>
      <c r="BR104" s="110"/>
      <c r="BS104" s="110"/>
      <c r="BT104" s="110"/>
      <c r="BU104" s="110"/>
      <c r="BV104" s="110"/>
      <c r="BW104" s="110"/>
      <c r="BX104" s="110"/>
      <c r="BY104" s="110"/>
      <c r="BZ104" s="110"/>
      <c r="CA104" s="110"/>
      <c r="CB104" s="110"/>
      <c r="CC104" s="110"/>
      <c r="CD104" s="110"/>
      <c r="CE104" s="110"/>
      <c r="CF104" s="110"/>
      <c r="CG104" s="110"/>
      <c r="CH104" s="110"/>
      <c r="CI104" s="110"/>
      <c r="CJ104" s="110"/>
      <c r="CK104" s="110"/>
      <c r="CL104" s="110"/>
      <c r="CM104" s="110"/>
      <c r="CN104" s="110"/>
      <c r="CO104" s="110"/>
      <c r="CP104" s="110"/>
      <c r="CQ104" s="110"/>
      <c r="CR104" s="110"/>
      <c r="CS104" s="110"/>
      <c r="CT104" s="110"/>
      <c r="CU104" s="110"/>
      <c r="CV104" s="110"/>
      <c r="CW104" s="110"/>
      <c r="CX104" s="110"/>
    </row>
    <row r="105" spans="1:102" s="64" customFormat="1" x14ac:dyDescent="0.3">
      <c r="A105" s="110"/>
      <c r="B105" s="413"/>
      <c r="C105" s="156"/>
      <c r="D105" s="110"/>
      <c r="E105" s="156"/>
      <c r="F105" s="156"/>
      <c r="G105" s="680">
        <v>17</v>
      </c>
      <c r="H105" s="681">
        <f t="shared" si="206"/>
        <v>46206.754166666666</v>
      </c>
      <c r="I105" s="469">
        <f t="shared" si="207"/>
        <v>1442</v>
      </c>
      <c r="J105" s="467">
        <f t="shared" si="208"/>
        <v>1442</v>
      </c>
      <c r="K105" s="468">
        <f t="shared" si="209"/>
        <v>1442</v>
      </c>
      <c r="L105" s="469">
        <f t="shared" si="210"/>
        <v>1272</v>
      </c>
      <c r="M105" s="470">
        <f t="shared" si="211"/>
        <v>2506</v>
      </c>
      <c r="N105" s="469"/>
      <c r="O105" s="522">
        <v>1384</v>
      </c>
      <c r="P105" s="522">
        <v>1341</v>
      </c>
      <c r="Q105" s="522">
        <v>1075</v>
      </c>
      <c r="R105" s="522">
        <v>1256</v>
      </c>
      <c r="S105" s="469">
        <v>1160</v>
      </c>
      <c r="T105" s="522">
        <v>1281</v>
      </c>
      <c r="U105" s="522">
        <v>988</v>
      </c>
      <c r="V105" s="522">
        <v>865</v>
      </c>
      <c r="W105" s="522">
        <v>790</v>
      </c>
      <c r="X105" s="522">
        <v>471</v>
      </c>
      <c r="Y105" s="470">
        <v>757</v>
      </c>
      <c r="Z105" s="213">
        <v>487</v>
      </c>
      <c r="AA105" s="133">
        <v>471</v>
      </c>
      <c r="AB105" s="133">
        <v>175</v>
      </c>
      <c r="AC105" s="222">
        <v>329</v>
      </c>
      <c r="AD105" s="213">
        <v>233</v>
      </c>
      <c r="AE105" s="133">
        <v>363</v>
      </c>
      <c r="AF105" s="133"/>
      <c r="AG105" s="222">
        <v>2089</v>
      </c>
      <c r="AH105" s="405"/>
      <c r="AI105" s="405"/>
      <c r="AJ105" s="431"/>
      <c r="AK105" s="405"/>
      <c r="AL105" s="405"/>
      <c r="AM105" s="405"/>
      <c r="AN105" s="405"/>
      <c r="AO105" s="405"/>
      <c r="AP105" s="41"/>
      <c r="AQ105" s="405"/>
      <c r="AR105" s="405"/>
      <c r="AS105" s="816"/>
      <c r="AT105" s="817"/>
      <c r="AU105" s="414"/>
      <c r="AV105" s="60"/>
      <c r="AW105" s="816"/>
      <c r="AX105" s="62"/>
      <c r="AY105" s="62"/>
      <c r="AZ105" s="60"/>
      <c r="BA105" s="67"/>
      <c r="BB105" s="817"/>
      <c r="BC105" s="817"/>
      <c r="BD105" s="67"/>
      <c r="BE105" s="60"/>
      <c r="BF105" s="415"/>
      <c r="BG105" s="817"/>
      <c r="BH105" s="817"/>
      <c r="BI105" s="67"/>
      <c r="BJ105" s="60"/>
      <c r="BK105" s="60"/>
      <c r="BL105" s="67"/>
      <c r="BM105" s="43"/>
      <c r="BN105" s="60"/>
      <c r="BO105" s="60"/>
      <c r="BP105" s="67"/>
      <c r="BQ105" s="43"/>
      <c r="BR105" s="110"/>
      <c r="BS105" s="110"/>
      <c r="BT105" s="110"/>
      <c r="BU105" s="110"/>
      <c r="BV105" s="110"/>
      <c r="BW105" s="110"/>
      <c r="BX105" s="110"/>
      <c r="BY105" s="110"/>
      <c r="BZ105" s="110"/>
      <c r="CA105" s="110"/>
      <c r="CB105" s="110"/>
      <c r="CC105" s="110"/>
      <c r="CD105" s="110"/>
      <c r="CE105" s="110"/>
      <c r="CF105" s="110"/>
      <c r="CG105" s="110"/>
      <c r="CH105" s="110"/>
      <c r="CI105" s="110"/>
      <c r="CJ105" s="110"/>
      <c r="CK105" s="110"/>
      <c r="CL105" s="110"/>
      <c r="CM105" s="110"/>
      <c r="CN105" s="110"/>
      <c r="CO105" s="110"/>
      <c r="CP105" s="110"/>
      <c r="CQ105" s="110"/>
      <c r="CR105" s="110"/>
      <c r="CS105" s="110"/>
      <c r="CT105" s="110"/>
      <c r="CU105" s="110"/>
      <c r="CV105" s="110"/>
      <c r="CW105" s="110"/>
      <c r="CX105" s="110"/>
    </row>
    <row r="106" spans="1:102" s="64" customFormat="1" x14ac:dyDescent="0.3">
      <c r="A106" s="110"/>
      <c r="B106" s="413"/>
      <c r="C106" s="156"/>
      <c r="D106" s="110"/>
      <c r="E106" s="156"/>
      <c r="F106" s="156"/>
      <c r="G106" s="680">
        <v>18</v>
      </c>
      <c r="H106" s="681">
        <f t="shared" si="206"/>
        <v>46207.759722222225</v>
      </c>
      <c r="I106" s="469">
        <f t="shared" si="207"/>
        <v>1481</v>
      </c>
      <c r="J106" s="467">
        <f t="shared" si="208"/>
        <v>1481</v>
      </c>
      <c r="K106" s="468">
        <f t="shared" si="209"/>
        <v>1481</v>
      </c>
      <c r="L106" s="469">
        <f t="shared" si="210"/>
        <v>1328</v>
      </c>
      <c r="M106" s="470">
        <f t="shared" si="211"/>
        <v>2621</v>
      </c>
      <c r="N106" s="469"/>
      <c r="O106" s="522">
        <v>1419</v>
      </c>
      <c r="P106" s="522">
        <v>1386</v>
      </c>
      <c r="Q106" s="522">
        <v>1113</v>
      </c>
      <c r="R106" s="522">
        <v>1296</v>
      </c>
      <c r="S106" s="469">
        <v>1210</v>
      </c>
      <c r="T106" s="522">
        <v>1333</v>
      </c>
      <c r="U106" s="522">
        <v>1027</v>
      </c>
      <c r="V106" s="522">
        <v>892</v>
      </c>
      <c r="W106" s="522">
        <v>821</v>
      </c>
      <c r="X106" s="522">
        <v>501</v>
      </c>
      <c r="Y106" s="470">
        <v>781</v>
      </c>
      <c r="Z106" s="213">
        <v>514</v>
      </c>
      <c r="AA106" s="133">
        <v>491</v>
      </c>
      <c r="AB106" s="133">
        <v>186</v>
      </c>
      <c r="AC106" s="222">
        <v>347</v>
      </c>
      <c r="AD106" s="213">
        <v>250</v>
      </c>
      <c r="AE106" s="133">
        <v>377</v>
      </c>
      <c r="AF106" s="133"/>
      <c r="AG106" s="222">
        <v>2148</v>
      </c>
      <c r="AH106" s="405"/>
      <c r="AI106" s="405"/>
      <c r="AJ106" s="431"/>
      <c r="AK106" s="405"/>
      <c r="AL106" s="405"/>
      <c r="AM106" s="405"/>
      <c r="AN106" s="405"/>
      <c r="AO106" s="405"/>
      <c r="AP106" s="41"/>
      <c r="AQ106" s="405"/>
      <c r="AR106" s="405"/>
      <c r="AS106" s="816"/>
      <c r="AT106" s="817"/>
      <c r="AU106" s="414"/>
      <c r="AV106" s="60"/>
      <c r="AW106" s="816"/>
      <c r="AX106" s="62"/>
      <c r="AY106" s="62"/>
      <c r="AZ106" s="60"/>
      <c r="BA106" s="67"/>
      <c r="BB106" s="817"/>
      <c r="BC106" s="817"/>
      <c r="BD106" s="67"/>
      <c r="BE106" s="60"/>
      <c r="BF106" s="415"/>
      <c r="BG106" s="817"/>
      <c r="BH106" s="817"/>
      <c r="BI106" s="67"/>
      <c r="BJ106" s="60"/>
      <c r="BK106" s="60"/>
      <c r="BL106" s="67"/>
      <c r="BM106" s="43"/>
      <c r="BN106" s="60"/>
      <c r="BO106" s="60"/>
      <c r="BP106" s="67"/>
      <c r="BQ106" s="43"/>
      <c r="BR106" s="110"/>
      <c r="BS106" s="110"/>
      <c r="BT106" s="110"/>
      <c r="BU106" s="110"/>
      <c r="BV106" s="110"/>
      <c r="BW106" s="110"/>
      <c r="BX106" s="110"/>
      <c r="BY106" s="110"/>
      <c r="BZ106" s="110"/>
      <c r="CA106" s="110"/>
      <c r="CB106" s="110"/>
      <c r="CC106" s="110"/>
      <c r="CD106" s="110"/>
      <c r="CE106" s="110"/>
      <c r="CF106" s="110"/>
      <c r="CG106" s="110"/>
      <c r="CH106" s="110"/>
      <c r="CI106" s="110"/>
      <c r="CJ106" s="110"/>
      <c r="CK106" s="110"/>
      <c r="CL106" s="110"/>
      <c r="CM106" s="110"/>
      <c r="CN106" s="110"/>
      <c r="CO106" s="110"/>
      <c r="CP106" s="110"/>
      <c r="CQ106" s="110"/>
      <c r="CR106" s="110"/>
      <c r="CS106" s="110"/>
      <c r="CT106" s="110"/>
      <c r="CU106" s="110"/>
      <c r="CV106" s="110"/>
      <c r="CW106" s="110"/>
      <c r="CX106" s="110"/>
    </row>
    <row r="107" spans="1:102" s="64" customFormat="1" x14ac:dyDescent="0.3">
      <c r="A107" s="110"/>
      <c r="B107" s="413"/>
      <c r="C107" s="156"/>
      <c r="D107" s="110"/>
      <c r="E107" s="156"/>
      <c r="F107" s="156"/>
      <c r="G107" s="680">
        <v>19</v>
      </c>
      <c r="H107" s="681">
        <f t="shared" si="206"/>
        <v>46208.75</v>
      </c>
      <c r="I107" s="469">
        <f t="shared" si="207"/>
        <v>1516</v>
      </c>
      <c r="J107" s="467">
        <f t="shared" si="208"/>
        <v>1516</v>
      </c>
      <c r="K107" s="468">
        <f t="shared" si="209"/>
        <v>1516</v>
      </c>
      <c r="L107" s="469">
        <f t="shared" si="210"/>
        <v>1389</v>
      </c>
      <c r="M107" s="470">
        <f t="shared" si="211"/>
        <v>2832</v>
      </c>
      <c r="N107" s="469"/>
      <c r="O107" s="522">
        <v>1483</v>
      </c>
      <c r="P107" s="522">
        <v>1454</v>
      </c>
      <c r="Q107" s="522">
        <v>1192</v>
      </c>
      <c r="R107" s="522">
        <v>1340</v>
      </c>
      <c r="S107" s="469">
        <v>1290</v>
      </c>
      <c r="T107" s="522">
        <v>1363</v>
      </c>
      <c r="U107" s="522">
        <v>1061</v>
      </c>
      <c r="V107" s="522">
        <v>973</v>
      </c>
      <c r="W107" s="522">
        <v>900</v>
      </c>
      <c r="X107" s="522">
        <v>537</v>
      </c>
      <c r="Y107" s="470">
        <v>827</v>
      </c>
      <c r="Z107" s="213">
        <v>549</v>
      </c>
      <c r="AA107" s="133">
        <v>519</v>
      </c>
      <c r="AB107" s="133">
        <v>198</v>
      </c>
      <c r="AC107" s="222">
        <v>368</v>
      </c>
      <c r="AD107" s="213">
        <v>267</v>
      </c>
      <c r="AE107" s="133">
        <v>401</v>
      </c>
      <c r="AF107" s="133"/>
      <c r="AG107" s="222">
        <v>2221</v>
      </c>
      <c r="AH107" s="405"/>
      <c r="AI107" s="405"/>
      <c r="AJ107" s="431"/>
      <c r="AK107" s="405"/>
      <c r="AL107" s="405"/>
      <c r="AM107" s="405"/>
      <c r="AN107" s="405"/>
      <c r="AO107" s="405"/>
      <c r="AP107" s="41"/>
      <c r="AQ107" s="405"/>
      <c r="AR107" s="405"/>
      <c r="AS107" s="816"/>
      <c r="AT107" s="817"/>
      <c r="AU107" s="414"/>
      <c r="AV107" s="60"/>
      <c r="AW107" s="816"/>
      <c r="AX107" s="62"/>
      <c r="AY107" s="62"/>
      <c r="AZ107" s="60"/>
      <c r="BA107" s="67"/>
      <c r="BB107" s="817"/>
      <c r="BC107" s="817"/>
      <c r="BD107" s="67"/>
      <c r="BE107" s="60"/>
      <c r="BF107" s="415"/>
      <c r="BG107" s="817"/>
      <c r="BH107" s="817"/>
      <c r="BI107" s="67"/>
      <c r="BJ107" s="60"/>
      <c r="BK107" s="60"/>
      <c r="BL107" s="67"/>
      <c r="BM107" s="43"/>
      <c r="BN107" s="60"/>
      <c r="BO107" s="60"/>
      <c r="BP107" s="67"/>
      <c r="BQ107" s="43"/>
      <c r="BR107" s="110"/>
      <c r="BS107" s="110"/>
      <c r="BT107" s="110"/>
      <c r="BU107" s="110"/>
      <c r="BV107" s="110"/>
      <c r="BW107" s="110"/>
      <c r="BX107" s="110"/>
      <c r="BY107" s="110"/>
      <c r="BZ107" s="110"/>
      <c r="CA107" s="110"/>
      <c r="CB107" s="110"/>
      <c r="CC107" s="110"/>
      <c r="CD107" s="110"/>
      <c r="CE107" s="110"/>
      <c r="CF107" s="110"/>
      <c r="CG107" s="110"/>
      <c r="CH107" s="110"/>
      <c r="CI107" s="110"/>
      <c r="CJ107" s="110"/>
      <c r="CK107" s="110"/>
      <c r="CL107" s="110"/>
      <c r="CM107" s="110"/>
      <c r="CN107" s="110"/>
      <c r="CO107" s="110"/>
      <c r="CP107" s="110"/>
      <c r="CQ107" s="110"/>
      <c r="CR107" s="110"/>
      <c r="CS107" s="110"/>
      <c r="CT107" s="110"/>
      <c r="CU107" s="110"/>
      <c r="CV107" s="110"/>
      <c r="CW107" s="110"/>
      <c r="CX107" s="110"/>
    </row>
    <row r="108" spans="1:102" s="64" customFormat="1" x14ac:dyDescent="0.3">
      <c r="A108" s="110"/>
      <c r="B108" s="413"/>
      <c r="C108" s="156"/>
      <c r="D108" s="110"/>
      <c r="E108" s="156"/>
      <c r="F108" s="156"/>
      <c r="G108" s="680">
        <v>20</v>
      </c>
      <c r="H108" s="681">
        <f t="shared" si="206"/>
        <v>46209.75</v>
      </c>
      <c r="I108" s="469">
        <f t="shared" si="207"/>
        <v>1607</v>
      </c>
      <c r="J108" s="467">
        <f t="shared" si="208"/>
        <v>1607</v>
      </c>
      <c r="K108" s="468">
        <f t="shared" si="209"/>
        <v>1607</v>
      </c>
      <c r="L108" s="469">
        <f t="shared" si="210"/>
        <v>1537</v>
      </c>
      <c r="M108" s="470">
        <f t="shared" si="211"/>
        <v>3036</v>
      </c>
      <c r="N108" s="469"/>
      <c r="O108" s="522">
        <v>1545</v>
      </c>
      <c r="P108" s="522">
        <v>1533</v>
      </c>
      <c r="Q108" s="522">
        <v>1301</v>
      </c>
      <c r="R108" s="522">
        <v>1403</v>
      </c>
      <c r="S108" s="469">
        <v>1421</v>
      </c>
      <c r="T108" s="522">
        <v>1464</v>
      </c>
      <c r="U108" s="522">
        <v>1120</v>
      </c>
      <c r="V108" s="522">
        <v>1053</v>
      </c>
      <c r="W108" s="522">
        <v>985</v>
      </c>
      <c r="X108" s="522">
        <v>576</v>
      </c>
      <c r="Y108" s="470">
        <v>863</v>
      </c>
      <c r="Z108" s="213">
        <v>584</v>
      </c>
      <c r="AA108" s="133">
        <v>558</v>
      </c>
      <c r="AB108" s="133">
        <v>227</v>
      </c>
      <c r="AC108" s="222">
        <v>392</v>
      </c>
      <c r="AD108" s="213">
        <v>300</v>
      </c>
      <c r="AE108" s="133">
        <v>440</v>
      </c>
      <c r="AF108" s="133"/>
      <c r="AG108" s="222">
        <v>2404</v>
      </c>
      <c r="AH108" s="405"/>
      <c r="AI108" s="405"/>
      <c r="AJ108" s="431"/>
      <c r="AK108" s="405"/>
      <c r="AL108" s="405"/>
      <c r="AM108" s="405"/>
      <c r="AN108" s="405"/>
      <c r="AO108" s="405"/>
      <c r="AP108" s="41"/>
      <c r="AQ108" s="405"/>
      <c r="AR108" s="405"/>
      <c r="AS108" s="816"/>
      <c r="AT108" s="817"/>
      <c r="AU108" s="414"/>
      <c r="AV108" s="60"/>
      <c r="AW108" s="816"/>
      <c r="AX108" s="62"/>
      <c r="AY108" s="62"/>
      <c r="AZ108" s="60"/>
      <c r="BA108" s="67"/>
      <c r="BB108" s="817"/>
      <c r="BC108" s="817"/>
      <c r="BD108" s="67"/>
      <c r="BE108" s="60"/>
      <c r="BF108" s="415"/>
      <c r="BG108" s="817"/>
      <c r="BH108" s="817"/>
      <c r="BI108" s="67"/>
      <c r="BJ108" s="60"/>
      <c r="BK108" s="60"/>
      <c r="BL108" s="67"/>
      <c r="BM108" s="43"/>
      <c r="BN108" s="60"/>
      <c r="BO108" s="60"/>
      <c r="BP108" s="67"/>
      <c r="BQ108" s="43"/>
      <c r="BR108" s="110"/>
      <c r="BS108" s="110"/>
      <c r="BT108" s="110"/>
      <c r="BU108" s="110"/>
      <c r="BV108" s="110"/>
      <c r="BW108" s="110"/>
      <c r="BX108" s="110"/>
      <c r="BY108" s="110"/>
      <c r="BZ108" s="110"/>
      <c r="CA108" s="110"/>
      <c r="CB108" s="110"/>
      <c r="CC108" s="110"/>
      <c r="CD108" s="110"/>
      <c r="CE108" s="110"/>
      <c r="CF108" s="110"/>
      <c r="CG108" s="110"/>
      <c r="CH108" s="110"/>
      <c r="CI108" s="110"/>
      <c r="CJ108" s="110"/>
      <c r="CK108" s="110"/>
      <c r="CL108" s="110"/>
      <c r="CM108" s="110"/>
      <c r="CN108" s="110"/>
      <c r="CO108" s="110"/>
      <c r="CP108" s="110"/>
      <c r="CQ108" s="110"/>
      <c r="CR108" s="110"/>
      <c r="CS108" s="110"/>
      <c r="CT108" s="110"/>
      <c r="CU108" s="110"/>
      <c r="CV108" s="110"/>
      <c r="CW108" s="110"/>
      <c r="CX108" s="110"/>
    </row>
    <row r="109" spans="1:102" s="2" customFormat="1" x14ac:dyDescent="0.3">
      <c r="A109" s="95"/>
      <c r="B109" s="95"/>
      <c r="C109" s="111"/>
      <c r="D109" s="95"/>
      <c r="E109" s="111"/>
      <c r="F109" s="111"/>
      <c r="G109" s="680">
        <v>21</v>
      </c>
      <c r="H109" s="681">
        <f t="shared" si="206"/>
        <v>46210.75</v>
      </c>
      <c r="I109" s="759">
        <f t="shared" si="207"/>
        <v>1770</v>
      </c>
      <c r="J109" s="147">
        <f t="shared" si="208"/>
        <v>1770</v>
      </c>
      <c r="K109" s="222">
        <f t="shared" si="209"/>
        <v>1770</v>
      </c>
      <c r="L109" s="735">
        <f t="shared" si="210"/>
        <v>1751</v>
      </c>
      <c r="M109" s="222">
        <f t="shared" si="211"/>
        <v>3428</v>
      </c>
      <c r="N109" s="736">
        <v>1572</v>
      </c>
      <c r="O109" s="737">
        <v>1664</v>
      </c>
      <c r="P109" s="746">
        <v>1680</v>
      </c>
      <c r="Q109" s="738">
        <v>1468</v>
      </c>
      <c r="R109" s="739">
        <v>1546</v>
      </c>
      <c r="S109" s="795">
        <v>1658</v>
      </c>
      <c r="T109" s="802">
        <v>1621</v>
      </c>
      <c r="U109" s="740">
        <v>1214</v>
      </c>
      <c r="V109" s="741">
        <v>1157</v>
      </c>
      <c r="W109" s="742">
        <v>1136</v>
      </c>
      <c r="X109" s="743">
        <v>756</v>
      </c>
      <c r="Y109" s="744">
        <v>975</v>
      </c>
      <c r="Z109" s="170">
        <v>658</v>
      </c>
      <c r="AA109" s="180">
        <v>645</v>
      </c>
      <c r="AB109" s="228">
        <v>269</v>
      </c>
      <c r="AC109" s="771">
        <v>425</v>
      </c>
      <c r="AD109" s="772">
        <v>347</v>
      </c>
      <c r="AE109" s="773">
        <v>497</v>
      </c>
      <c r="AF109" s="773">
        <v>352</v>
      </c>
      <c r="AG109" s="774">
        <v>2679</v>
      </c>
      <c r="AH109" s="23"/>
      <c r="AI109" s="23"/>
      <c r="AJ109" s="432"/>
      <c r="AK109" s="23"/>
      <c r="AL109" s="23"/>
      <c r="AM109" s="23"/>
      <c r="AN109" s="23"/>
      <c r="AO109" s="23"/>
      <c r="AP109" s="23"/>
      <c r="AQ109" s="23"/>
      <c r="AR109" s="23"/>
      <c r="AS109" s="82"/>
      <c r="AT109" s="146"/>
      <c r="AU109" s="83"/>
      <c r="AV109" s="78"/>
      <c r="AW109" s="82"/>
      <c r="AX109" s="77"/>
      <c r="AY109" s="77"/>
      <c r="AZ109" s="78"/>
      <c r="BA109" s="79"/>
      <c r="BB109" s="146"/>
      <c r="BC109" s="146"/>
      <c r="BD109" s="79"/>
      <c r="BE109" s="78"/>
      <c r="BF109" s="86"/>
      <c r="BG109" s="146"/>
      <c r="BH109" s="146"/>
      <c r="BI109" s="79"/>
      <c r="BJ109" s="78"/>
      <c r="BK109" s="63"/>
      <c r="BL109" s="79"/>
      <c r="BM109" s="48"/>
      <c r="BN109" s="78"/>
      <c r="BO109" s="63"/>
      <c r="BP109" s="79"/>
      <c r="BQ109" s="48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  <c r="CS109" s="95"/>
      <c r="CT109" s="95"/>
      <c r="CU109" s="95"/>
      <c r="CV109" s="95"/>
      <c r="CW109" s="95"/>
      <c r="CX109" s="95"/>
    </row>
    <row r="110" spans="1:102" s="2" customFormat="1" x14ac:dyDescent="0.3">
      <c r="A110" s="95"/>
      <c r="B110" s="95"/>
      <c r="C110" s="111"/>
      <c r="D110" s="95"/>
      <c r="E110" s="111"/>
      <c r="F110" s="111"/>
      <c r="G110" s="726" t="s">
        <v>426</v>
      </c>
      <c r="H110" s="763"/>
      <c r="I110" s="764"/>
      <c r="J110" s="215"/>
      <c r="K110" s="765"/>
      <c r="L110" s="766"/>
      <c r="M110" s="765"/>
      <c r="N110" s="767"/>
      <c r="O110" s="768"/>
      <c r="P110" s="769"/>
      <c r="Q110" s="770"/>
      <c r="R110" s="762">
        <v>1612</v>
      </c>
      <c r="S110" s="796"/>
      <c r="T110" s="803">
        <v>1733</v>
      </c>
      <c r="U110" s="691">
        <v>1262</v>
      </c>
      <c r="V110" s="734"/>
      <c r="W110" s="298"/>
      <c r="X110" s="298"/>
      <c r="Y110" s="745"/>
      <c r="Z110" s="298"/>
      <c r="AA110" s="298"/>
      <c r="AB110" s="298"/>
      <c r="AC110" s="745"/>
      <c r="AD110" s="775"/>
      <c r="AE110" s="298"/>
      <c r="AF110" s="298"/>
      <c r="AG110" s="675">
        <v>2832</v>
      </c>
      <c r="AH110" s="23"/>
      <c r="AI110" s="23"/>
      <c r="AJ110" s="224"/>
      <c r="AK110" s="23"/>
      <c r="AL110" s="23"/>
      <c r="AM110" s="23"/>
      <c r="AN110" s="23"/>
      <c r="AO110" s="23"/>
      <c r="AP110" s="23"/>
      <c r="AQ110" s="23"/>
      <c r="AR110" s="23"/>
      <c r="AS110" s="82"/>
      <c r="AT110" s="146"/>
      <c r="AU110" s="83"/>
      <c r="AV110" s="78"/>
      <c r="AW110" s="82"/>
      <c r="AX110" s="77"/>
      <c r="AY110" s="77"/>
      <c r="AZ110" s="78"/>
      <c r="BA110" s="79"/>
      <c r="BB110" s="146"/>
      <c r="BC110" s="146"/>
      <c r="BD110" s="79"/>
      <c r="BE110" s="78"/>
      <c r="BF110" s="86"/>
      <c r="BG110" s="146"/>
      <c r="BH110" s="146"/>
      <c r="BI110" s="79"/>
      <c r="BJ110" s="78"/>
      <c r="BK110" s="63"/>
      <c r="BL110" s="79"/>
      <c r="BM110" s="48"/>
      <c r="BN110" s="78"/>
      <c r="BO110" s="63"/>
      <c r="BP110" s="79"/>
      <c r="BQ110" s="48"/>
      <c r="BR110" s="95"/>
      <c r="BS110" s="95"/>
      <c r="BT110" s="95"/>
      <c r="BU110" s="95"/>
      <c r="BV110" s="95"/>
      <c r="BW110" s="95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5"/>
      <c r="CM110" s="95"/>
      <c r="CN110" s="95"/>
      <c r="CO110" s="95"/>
      <c r="CP110" s="95"/>
      <c r="CQ110" s="95"/>
      <c r="CR110" s="95"/>
      <c r="CS110" s="95"/>
      <c r="CT110" s="95"/>
      <c r="CU110" s="95"/>
      <c r="CV110" s="95"/>
      <c r="CW110" s="95"/>
      <c r="CX110" s="95"/>
    </row>
    <row r="111" spans="1:102" s="2" customFormat="1" x14ac:dyDescent="0.3">
      <c r="A111" s="95"/>
      <c r="B111" s="95"/>
      <c r="C111" s="111"/>
      <c r="D111" s="95"/>
      <c r="E111" s="111"/>
      <c r="F111" s="111"/>
      <c r="G111" s="109"/>
      <c r="H111" s="128"/>
      <c r="I111" s="165"/>
      <c r="J111" s="147"/>
      <c r="K111" s="133"/>
      <c r="L111" s="147"/>
      <c r="M111" s="133"/>
      <c r="N111" s="95"/>
      <c r="O111" s="95"/>
      <c r="P111" s="95"/>
      <c r="Q111" s="95"/>
      <c r="R111" s="95"/>
      <c r="S111" s="95"/>
      <c r="T111" s="95"/>
      <c r="U111" s="95"/>
      <c r="V111" s="170"/>
      <c r="W111" s="180"/>
      <c r="X111" s="180"/>
      <c r="Y111" s="170"/>
      <c r="Z111" s="180"/>
      <c r="AA111" s="180"/>
      <c r="AB111" s="180"/>
      <c r="AC111" s="170"/>
      <c r="AD111" s="180"/>
      <c r="AE111" s="180"/>
      <c r="AF111" s="180"/>
      <c r="AG111" s="180"/>
      <c r="AH111" s="23"/>
      <c r="AI111" s="23"/>
      <c r="AJ111" s="224"/>
      <c r="AK111" s="23"/>
      <c r="AL111" s="23"/>
      <c r="AM111" s="23"/>
      <c r="AN111" s="23"/>
      <c r="AO111" s="23"/>
      <c r="AP111" s="23"/>
      <c r="AQ111" s="23"/>
      <c r="AR111" s="23"/>
      <c r="AS111" s="82"/>
      <c r="AT111" s="146"/>
      <c r="AU111" s="83"/>
      <c r="AV111" s="78"/>
      <c r="AW111" s="82"/>
      <c r="AX111" s="77"/>
      <c r="AY111" s="77"/>
      <c r="AZ111" s="78"/>
      <c r="BA111" s="79"/>
      <c r="BB111" s="146"/>
      <c r="BC111" s="146"/>
      <c r="BD111" s="79"/>
      <c r="BE111" s="78"/>
      <c r="BF111" s="86"/>
      <c r="BG111" s="146"/>
      <c r="BH111" s="146"/>
      <c r="BI111" s="79"/>
      <c r="BJ111" s="78"/>
      <c r="BK111" s="63"/>
      <c r="BL111" s="79"/>
      <c r="BM111" s="48"/>
      <c r="BN111" s="78"/>
      <c r="BO111" s="63"/>
      <c r="BP111" s="79"/>
      <c r="BQ111" s="48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  <c r="CS111" s="95"/>
      <c r="CT111" s="95"/>
      <c r="CU111" s="95"/>
      <c r="CV111" s="95"/>
      <c r="CW111" s="95"/>
      <c r="CX111" s="95"/>
    </row>
    <row r="112" spans="1:102" s="2" customFormat="1" x14ac:dyDescent="0.3">
      <c r="A112" s="95"/>
      <c r="B112" s="95"/>
      <c r="C112" s="111"/>
      <c r="D112" s="95"/>
      <c r="E112" s="111"/>
      <c r="F112" s="111"/>
      <c r="G112" s="109"/>
      <c r="H112" s="128"/>
      <c r="I112" s="165"/>
      <c r="J112" s="147"/>
      <c r="K112" s="133"/>
      <c r="L112" s="147"/>
      <c r="M112" s="133"/>
      <c r="N112" s="95"/>
      <c r="O112" s="95"/>
      <c r="P112" s="95"/>
      <c r="Q112" s="95"/>
      <c r="R112" s="95"/>
      <c r="S112" s="95"/>
      <c r="T112" s="95"/>
      <c r="U112" s="95"/>
      <c r="V112" s="170"/>
      <c r="W112" s="180"/>
      <c r="X112" s="180"/>
      <c r="Y112" s="170"/>
      <c r="Z112" s="180"/>
      <c r="AA112" s="180"/>
      <c r="AB112" s="180"/>
      <c r="AC112" s="170"/>
      <c r="AD112" s="180"/>
      <c r="AE112" s="180"/>
      <c r="AF112" s="180"/>
      <c r="AG112" s="180"/>
      <c r="AH112" s="23"/>
      <c r="AI112" s="23"/>
      <c r="AJ112" s="224"/>
      <c r="AK112" s="23"/>
      <c r="AL112" s="23"/>
      <c r="AM112" s="23"/>
      <c r="AN112" s="23"/>
      <c r="AO112" s="23"/>
      <c r="AP112" s="23"/>
      <c r="AQ112" s="23"/>
      <c r="AR112" s="23"/>
      <c r="AS112" s="82"/>
      <c r="AT112" s="146"/>
      <c r="AU112" s="83"/>
      <c r="AV112" s="78"/>
      <c r="AW112" s="82"/>
      <c r="AX112" s="77"/>
      <c r="AY112" s="77"/>
      <c r="AZ112" s="78"/>
      <c r="BA112" s="79"/>
      <c r="BB112" s="146"/>
      <c r="BC112" s="146"/>
      <c r="BD112" s="79"/>
      <c r="BE112" s="78"/>
      <c r="BF112" s="86"/>
      <c r="BG112" s="146"/>
      <c r="BH112" s="146"/>
      <c r="BI112" s="79"/>
      <c r="BJ112" s="78"/>
      <c r="BK112" s="63"/>
      <c r="BL112" s="79"/>
      <c r="BM112" s="48"/>
      <c r="BN112" s="78"/>
      <c r="BO112" s="63"/>
      <c r="BP112" s="79"/>
      <c r="BQ112" s="48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5"/>
      <c r="CR112" s="95"/>
      <c r="CS112" s="95"/>
      <c r="CT112" s="95"/>
      <c r="CU112" s="95"/>
      <c r="CV112" s="95"/>
      <c r="CW112" s="95"/>
      <c r="CX112" s="95"/>
    </row>
    <row r="113" spans="1:102" s="2" customFormat="1" x14ac:dyDescent="0.3">
      <c r="A113" s="95"/>
      <c r="B113" s="95"/>
      <c r="C113" s="111"/>
      <c r="D113" s="95"/>
      <c r="E113" s="111"/>
      <c r="F113" s="111"/>
      <c r="G113" s="109"/>
      <c r="H113" s="128"/>
      <c r="I113" s="165"/>
      <c r="J113" s="147"/>
      <c r="K113" s="133"/>
      <c r="L113" s="147"/>
      <c r="M113" s="133"/>
      <c r="N113" s="95"/>
      <c r="O113" s="95"/>
      <c r="P113" s="95"/>
      <c r="Q113" s="95"/>
      <c r="R113" s="95"/>
      <c r="S113" s="95"/>
      <c r="T113" s="95"/>
      <c r="U113" s="95"/>
      <c r="V113" s="170"/>
      <c r="W113" s="180"/>
      <c r="X113" s="180"/>
      <c r="Y113" s="170"/>
      <c r="Z113" s="180"/>
      <c r="AA113" s="180"/>
      <c r="AB113" s="180"/>
      <c r="AC113" s="170"/>
      <c r="AD113" s="180"/>
      <c r="AE113" s="180"/>
      <c r="AF113" s="180"/>
      <c r="AG113" s="180"/>
      <c r="AH113" s="23"/>
      <c r="AI113" s="23"/>
      <c r="AJ113" s="224"/>
      <c r="AK113" s="23"/>
      <c r="AL113" s="23"/>
      <c r="AM113" s="23"/>
      <c r="AN113" s="23"/>
      <c r="AO113" s="23"/>
      <c r="AP113" s="23"/>
      <c r="AQ113" s="23"/>
      <c r="AR113" s="23"/>
      <c r="AS113" s="82"/>
      <c r="AT113" s="146"/>
      <c r="AU113" s="83"/>
      <c r="AV113" s="78"/>
      <c r="AW113" s="82"/>
      <c r="AX113" s="77"/>
      <c r="AY113" s="77"/>
      <c r="AZ113" s="78"/>
      <c r="BA113" s="79"/>
      <c r="BB113" s="146"/>
      <c r="BC113" s="146"/>
      <c r="BD113" s="79"/>
      <c r="BE113" s="78"/>
      <c r="BF113" s="86"/>
      <c r="BG113" s="146"/>
      <c r="BH113" s="146"/>
      <c r="BI113" s="79"/>
      <c r="BJ113" s="78"/>
      <c r="BK113" s="63"/>
      <c r="BL113" s="79"/>
      <c r="BM113" s="48"/>
      <c r="BN113" s="78"/>
      <c r="BO113" s="63"/>
      <c r="BP113" s="79"/>
      <c r="BQ113" s="48"/>
      <c r="BR113" s="95"/>
      <c r="BS113" s="95"/>
      <c r="BT113" s="95"/>
      <c r="BU113" s="95"/>
      <c r="BV113" s="95"/>
      <c r="BW113" s="95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95"/>
      <c r="CM113" s="95"/>
      <c r="CN113" s="95"/>
      <c r="CO113" s="95"/>
      <c r="CP113" s="95"/>
      <c r="CQ113" s="95"/>
      <c r="CR113" s="95"/>
      <c r="CS113" s="95"/>
      <c r="CT113" s="95"/>
      <c r="CU113" s="95"/>
      <c r="CV113" s="95"/>
      <c r="CW113" s="95"/>
      <c r="CX113" s="95"/>
    </row>
    <row r="114" spans="1:102" s="2" customFormat="1" x14ac:dyDescent="0.3">
      <c r="A114" s="95"/>
      <c r="B114" s="95"/>
      <c r="C114" s="111"/>
      <c r="D114" s="95"/>
      <c r="E114" s="111"/>
      <c r="F114" s="111"/>
      <c r="G114" s="109"/>
      <c r="H114" s="128"/>
      <c r="I114" s="165"/>
      <c r="J114" s="147"/>
      <c r="K114" s="133"/>
      <c r="L114" s="147"/>
      <c r="M114" s="133"/>
      <c r="N114" s="95"/>
      <c r="O114" s="95"/>
      <c r="P114" s="95"/>
      <c r="Q114" s="95"/>
      <c r="R114" s="95"/>
      <c r="S114" s="95"/>
      <c r="T114" s="95"/>
      <c r="U114" s="95"/>
      <c r="V114" s="170"/>
      <c r="W114" s="180"/>
      <c r="X114" s="180"/>
      <c r="Y114" s="170"/>
      <c r="Z114" s="180"/>
      <c r="AA114" s="180"/>
      <c r="AB114" s="180"/>
      <c r="AC114" s="170"/>
      <c r="AD114" s="180"/>
      <c r="AE114" s="180"/>
      <c r="AF114" s="180"/>
      <c r="AG114" s="180"/>
      <c r="AH114" s="23"/>
      <c r="AI114" s="23"/>
      <c r="AJ114" s="224"/>
      <c r="AK114" s="23"/>
      <c r="AL114" s="23"/>
      <c r="AM114" s="23"/>
      <c r="AN114" s="23"/>
      <c r="AO114" s="23"/>
      <c r="AP114" s="23"/>
      <c r="AQ114" s="23"/>
      <c r="AR114" s="23"/>
      <c r="AS114" s="82"/>
      <c r="AT114" s="146"/>
      <c r="AU114" s="83"/>
      <c r="AV114" s="78"/>
      <c r="AW114" s="82"/>
      <c r="AX114" s="77"/>
      <c r="AY114" s="77"/>
      <c r="AZ114" s="78"/>
      <c r="BA114" s="79"/>
      <c r="BB114" s="146"/>
      <c r="BC114" s="146"/>
      <c r="BD114" s="79"/>
      <c r="BE114" s="78"/>
      <c r="BF114" s="86"/>
      <c r="BG114" s="146"/>
      <c r="BH114" s="146"/>
      <c r="BI114" s="79"/>
      <c r="BJ114" s="78"/>
      <c r="BK114" s="63"/>
      <c r="BL114" s="79"/>
      <c r="BM114" s="48"/>
      <c r="BN114" s="78"/>
      <c r="BO114" s="63"/>
      <c r="BP114" s="79"/>
      <c r="BQ114" s="48"/>
      <c r="BR114" s="95"/>
      <c r="BS114" s="95"/>
      <c r="BT114" s="95"/>
      <c r="BU114" s="95"/>
      <c r="BV114" s="95"/>
      <c r="BW114" s="95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95"/>
      <c r="CM114" s="95"/>
      <c r="CN114" s="95"/>
      <c r="CO114" s="95"/>
      <c r="CP114" s="95"/>
      <c r="CQ114" s="95"/>
      <c r="CR114" s="95"/>
      <c r="CS114" s="95"/>
      <c r="CT114" s="95"/>
      <c r="CU114" s="95"/>
      <c r="CV114" s="95"/>
      <c r="CW114" s="95"/>
      <c r="CX114" s="95"/>
    </row>
    <row r="115" spans="1:102" s="2" customFormat="1" x14ac:dyDescent="0.3">
      <c r="A115" s="95"/>
      <c r="B115" s="95"/>
      <c r="C115" s="111"/>
      <c r="D115" s="95"/>
      <c r="E115" s="111"/>
      <c r="F115" s="111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110"/>
      <c r="X115" s="110"/>
      <c r="Y115" s="95"/>
      <c r="Z115" s="110"/>
      <c r="AA115" s="110"/>
      <c r="AB115" s="110"/>
      <c r="AC115" s="95"/>
      <c r="AD115" s="110"/>
      <c r="AE115" s="110"/>
      <c r="AF115" s="110"/>
      <c r="AG115" s="110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82"/>
      <c r="AT115" s="146"/>
      <c r="AU115" s="83"/>
      <c r="AV115" s="78"/>
      <c r="AW115" s="82"/>
      <c r="AX115" s="77"/>
      <c r="AY115" s="77"/>
      <c r="AZ115" s="78"/>
      <c r="BA115" s="79"/>
      <c r="BB115" s="146"/>
      <c r="BC115" s="146"/>
      <c r="BD115" s="79"/>
      <c r="BE115" s="78"/>
      <c r="BF115" s="86"/>
      <c r="BG115" s="146"/>
      <c r="BH115" s="146"/>
      <c r="BI115" s="79"/>
      <c r="BJ115" s="78"/>
      <c r="BK115" s="63"/>
      <c r="BL115" s="79"/>
      <c r="BM115" s="48"/>
      <c r="BN115" s="78"/>
      <c r="BO115" s="63"/>
      <c r="BP115" s="79"/>
      <c r="BQ115" s="48"/>
      <c r="BR115" s="95"/>
      <c r="BS115" s="95"/>
      <c r="BT115" s="95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5"/>
      <c r="CM115" s="95"/>
      <c r="CN115" s="95"/>
      <c r="CO115" s="95"/>
      <c r="CP115" s="95"/>
      <c r="CQ115" s="95"/>
      <c r="CR115" s="95"/>
      <c r="CS115" s="95"/>
      <c r="CT115" s="95"/>
      <c r="CU115" s="95"/>
      <c r="CV115" s="95"/>
      <c r="CW115" s="95"/>
      <c r="CX115" s="95"/>
    </row>
    <row r="116" spans="1:102" s="2" customFormat="1" x14ac:dyDescent="0.3">
      <c r="A116" s="95"/>
      <c r="B116" s="95"/>
      <c r="C116" s="111"/>
      <c r="D116" s="95"/>
      <c r="E116" s="111"/>
      <c r="F116" s="111"/>
      <c r="G116" s="95"/>
      <c r="H116" s="95"/>
      <c r="I116" s="95"/>
      <c r="J116" s="95"/>
      <c r="K116" s="95"/>
      <c r="L116" s="121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82"/>
      <c r="AT116" s="146"/>
      <c r="AU116" s="83"/>
      <c r="AV116" s="78"/>
      <c r="AW116" s="82"/>
      <c r="AX116" s="77"/>
      <c r="AY116" s="77"/>
      <c r="AZ116" s="78"/>
      <c r="BA116" s="79"/>
      <c r="BB116" s="146"/>
      <c r="BC116" s="146"/>
      <c r="BD116" s="79"/>
      <c r="BE116" s="78"/>
      <c r="BF116" s="86"/>
      <c r="BG116" s="146"/>
      <c r="BH116" s="146"/>
      <c r="BI116" s="79"/>
      <c r="BJ116" s="78"/>
      <c r="BK116" s="63"/>
      <c r="BL116" s="79"/>
      <c r="BM116" s="48"/>
      <c r="BN116" s="78"/>
      <c r="BO116" s="63"/>
      <c r="BP116" s="79"/>
      <c r="BQ116" s="48"/>
      <c r="BR116" s="95"/>
      <c r="BS116" s="95"/>
      <c r="BT116" s="95"/>
      <c r="BU116" s="95"/>
      <c r="BV116" s="95"/>
      <c r="BW116" s="95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95"/>
      <c r="CR116" s="95"/>
      <c r="CS116" s="95"/>
      <c r="CT116" s="95"/>
      <c r="CU116" s="95"/>
      <c r="CV116" s="95"/>
      <c r="CW116" s="95"/>
      <c r="CX116" s="95"/>
    </row>
    <row r="117" spans="1:102" s="2" customFormat="1" x14ac:dyDescent="0.3">
      <c r="A117" s="95"/>
      <c r="B117" s="95"/>
      <c r="C117" s="111"/>
      <c r="D117" s="95"/>
      <c r="E117" s="111"/>
      <c r="F117" s="111"/>
      <c r="G117" s="95"/>
      <c r="H117" s="95"/>
      <c r="I117" s="95"/>
      <c r="J117" s="95"/>
      <c r="K117" s="95"/>
      <c r="L117" s="121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82"/>
      <c r="AT117" s="146"/>
      <c r="AU117" s="83"/>
      <c r="AV117" s="78"/>
      <c r="AW117" s="82"/>
      <c r="AX117" s="77"/>
      <c r="AY117" s="77"/>
      <c r="AZ117" s="78"/>
      <c r="BA117" s="79"/>
      <c r="BB117" s="146"/>
      <c r="BC117" s="146"/>
      <c r="BD117" s="79"/>
      <c r="BE117" s="78"/>
      <c r="BF117" s="86"/>
      <c r="BG117" s="146"/>
      <c r="BH117" s="146"/>
      <c r="BI117" s="79"/>
      <c r="BJ117" s="78"/>
      <c r="BK117" s="63"/>
      <c r="BL117" s="79"/>
      <c r="BM117" s="48"/>
      <c r="BN117" s="78"/>
      <c r="BO117" s="63"/>
      <c r="BP117" s="79"/>
      <c r="BQ117" s="48"/>
      <c r="BR117" s="95"/>
      <c r="BS117" s="95"/>
      <c r="BT117" s="95"/>
      <c r="BU117" s="95"/>
      <c r="BV117" s="95"/>
      <c r="BW117" s="95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95"/>
      <c r="CM117" s="95"/>
      <c r="CN117" s="95"/>
      <c r="CO117" s="95"/>
      <c r="CP117" s="95"/>
      <c r="CQ117" s="95"/>
      <c r="CR117" s="95"/>
      <c r="CS117" s="95"/>
      <c r="CT117" s="95"/>
      <c r="CU117" s="95"/>
      <c r="CV117" s="95"/>
      <c r="CW117" s="95"/>
      <c r="CX117" s="95"/>
    </row>
    <row r="118" spans="1:102" s="2" customFormat="1" x14ac:dyDescent="0.3">
      <c r="A118" s="95"/>
      <c r="B118" s="95"/>
      <c r="C118" s="111"/>
      <c r="D118" s="95"/>
      <c r="E118" s="111"/>
      <c r="F118" s="111"/>
      <c r="G118" s="95"/>
      <c r="H118" s="95"/>
      <c r="I118" s="95"/>
      <c r="J118" s="95"/>
      <c r="K118" s="95"/>
      <c r="L118" s="121"/>
      <c r="M118" s="95"/>
      <c r="N118" s="95"/>
      <c r="O118" s="95"/>
      <c r="P118" s="95"/>
      <c r="Q118" s="95"/>
      <c r="R118" s="95"/>
      <c r="S118" s="95"/>
      <c r="T118" s="95"/>
      <c r="U118" s="95"/>
      <c r="V118" s="121"/>
      <c r="W118" s="95"/>
      <c r="X118" s="95"/>
      <c r="Y118" s="121"/>
      <c r="Z118" s="95"/>
      <c r="AA118" s="95"/>
      <c r="AB118" s="95"/>
      <c r="AC118" s="121"/>
      <c r="AD118" s="95"/>
      <c r="AE118" s="95"/>
      <c r="AF118" s="95"/>
      <c r="AG118" s="95"/>
      <c r="AH118" s="23"/>
      <c r="AI118" s="23"/>
      <c r="AJ118" s="92"/>
      <c r="AK118" s="23"/>
      <c r="AL118" s="23"/>
      <c r="AM118" s="23"/>
      <c r="AN118" s="23"/>
      <c r="AO118" s="23"/>
      <c r="AP118" s="23"/>
      <c r="AQ118" s="23"/>
      <c r="AR118" s="23"/>
      <c r="AS118" s="82"/>
      <c r="AT118" s="146"/>
      <c r="AU118" s="83"/>
      <c r="AV118" s="78"/>
      <c r="AW118" s="82"/>
      <c r="AX118" s="77"/>
      <c r="AY118" s="77"/>
      <c r="AZ118" s="78"/>
      <c r="BA118" s="79"/>
      <c r="BB118" s="146"/>
      <c r="BC118" s="146"/>
      <c r="BD118" s="79"/>
      <c r="BE118" s="78"/>
      <c r="BF118" s="86"/>
      <c r="BG118" s="146"/>
      <c r="BH118" s="146"/>
      <c r="BI118" s="79"/>
      <c r="BJ118" s="78"/>
      <c r="BK118" s="63"/>
      <c r="BL118" s="79"/>
      <c r="BM118" s="48"/>
      <c r="BN118" s="78"/>
      <c r="BO118" s="63"/>
      <c r="BP118" s="79"/>
      <c r="BQ118" s="48"/>
      <c r="BR118" s="95"/>
      <c r="BS118" s="95"/>
      <c r="BT118" s="95"/>
      <c r="BU118" s="95"/>
      <c r="BV118" s="95"/>
      <c r="BW118" s="95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5"/>
      <c r="CR118" s="95"/>
      <c r="CS118" s="95"/>
      <c r="CT118" s="95"/>
      <c r="CU118" s="95"/>
      <c r="CV118" s="95"/>
      <c r="CW118" s="95"/>
      <c r="CX118" s="95"/>
    </row>
    <row r="119" spans="1:102" s="2" customFormat="1" x14ac:dyDescent="0.3">
      <c r="A119" s="95"/>
      <c r="B119" s="95"/>
      <c r="C119" s="111"/>
      <c r="D119" s="95"/>
      <c r="E119" s="111"/>
      <c r="F119" s="111"/>
      <c r="G119" s="95"/>
      <c r="H119" s="95"/>
      <c r="I119" s="95"/>
      <c r="J119" s="95"/>
      <c r="K119" s="95"/>
      <c r="L119" s="121"/>
      <c r="M119" s="95"/>
      <c r="N119" s="95"/>
      <c r="O119" s="95"/>
      <c r="P119" s="95"/>
      <c r="Q119" s="95"/>
      <c r="R119" s="95"/>
      <c r="S119" s="95"/>
      <c r="T119" s="95"/>
      <c r="U119" s="95"/>
      <c r="V119" s="121"/>
      <c r="W119" s="95"/>
      <c r="X119" s="95"/>
      <c r="Y119" s="121"/>
      <c r="Z119" s="95"/>
      <c r="AA119" s="95"/>
      <c r="AB119" s="95"/>
      <c r="AC119" s="121"/>
      <c r="AD119" s="95"/>
      <c r="AE119" s="95"/>
      <c r="AF119" s="95"/>
      <c r="AG119" s="95"/>
      <c r="AH119" s="23"/>
      <c r="AI119" s="23"/>
      <c r="AJ119" s="92"/>
      <c r="AK119" s="23"/>
      <c r="AL119" s="23"/>
      <c r="AM119" s="23"/>
      <c r="AN119" s="23"/>
      <c r="AO119" s="23"/>
      <c r="AP119" s="23"/>
      <c r="AQ119" s="23"/>
      <c r="AR119" s="23"/>
      <c r="AS119" s="82"/>
      <c r="AT119" s="146"/>
      <c r="AU119" s="83"/>
      <c r="AV119" s="78"/>
      <c r="AW119" s="82"/>
      <c r="AX119" s="77"/>
      <c r="AY119" s="77"/>
      <c r="AZ119" s="78"/>
      <c r="BA119" s="79"/>
      <c r="BB119" s="146"/>
      <c r="BC119" s="146"/>
      <c r="BD119" s="79"/>
      <c r="BE119" s="78"/>
      <c r="BF119" s="86"/>
      <c r="BG119" s="146"/>
      <c r="BH119" s="146"/>
      <c r="BI119" s="79"/>
      <c r="BJ119" s="78"/>
      <c r="BK119" s="63"/>
      <c r="BL119" s="79"/>
      <c r="BM119" s="48"/>
      <c r="BN119" s="78"/>
      <c r="BO119" s="63"/>
      <c r="BP119" s="79"/>
      <c r="BQ119" s="48"/>
      <c r="BR119" s="95"/>
      <c r="BS119" s="95"/>
      <c r="BT119" s="95"/>
      <c r="BU119" s="95"/>
      <c r="BV119" s="95"/>
      <c r="BW119" s="95"/>
      <c r="BX119" s="95"/>
      <c r="BY119" s="95"/>
      <c r="BZ119" s="95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95"/>
      <c r="CM119" s="95"/>
      <c r="CN119" s="95"/>
      <c r="CO119" s="95"/>
      <c r="CP119" s="95"/>
      <c r="CQ119" s="95"/>
      <c r="CR119" s="95"/>
      <c r="CS119" s="95"/>
      <c r="CT119" s="95"/>
      <c r="CU119" s="95"/>
      <c r="CV119" s="95"/>
      <c r="CW119" s="95"/>
      <c r="CX119" s="95"/>
    </row>
    <row r="120" spans="1:102" s="2" customFormat="1" x14ac:dyDescent="0.3">
      <c r="A120" s="95"/>
      <c r="B120" s="95"/>
      <c r="C120" s="111"/>
      <c r="D120" s="95"/>
      <c r="E120" s="111"/>
      <c r="F120" s="111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121"/>
      <c r="W120" s="95"/>
      <c r="X120" s="95"/>
      <c r="Y120" s="121"/>
      <c r="Z120" s="95"/>
      <c r="AA120" s="95"/>
      <c r="AB120" s="95"/>
      <c r="AC120" s="121"/>
      <c r="AD120" s="95"/>
      <c r="AE120" s="95"/>
      <c r="AF120" s="95"/>
      <c r="AG120" s="95"/>
      <c r="AH120" s="23"/>
      <c r="AI120" s="23"/>
      <c r="AJ120" s="92"/>
      <c r="AK120" s="23"/>
      <c r="AL120" s="23"/>
      <c r="AM120" s="23"/>
      <c r="AN120" s="23"/>
      <c r="AO120" s="23"/>
      <c r="AP120" s="23"/>
      <c r="AQ120" s="23"/>
      <c r="AR120" s="23"/>
      <c r="AS120" s="82"/>
      <c r="AT120" s="146"/>
      <c r="AU120" s="83"/>
      <c r="AV120" s="78"/>
      <c r="AW120" s="82"/>
      <c r="AX120" s="77"/>
      <c r="AY120" s="77"/>
      <c r="AZ120" s="78"/>
      <c r="BA120" s="79"/>
      <c r="BB120" s="146"/>
      <c r="BC120" s="146"/>
      <c r="BD120" s="79"/>
      <c r="BE120" s="78"/>
      <c r="BF120" s="86"/>
      <c r="BG120" s="146"/>
      <c r="BH120" s="146"/>
      <c r="BI120" s="79"/>
      <c r="BJ120" s="78"/>
      <c r="BK120" s="63"/>
      <c r="BL120" s="79"/>
      <c r="BM120" s="48"/>
      <c r="BN120" s="78"/>
      <c r="BO120" s="63"/>
      <c r="BP120" s="79"/>
      <c r="BQ120" s="48"/>
      <c r="BR120" s="95"/>
      <c r="BS120" s="95"/>
      <c r="BT120" s="95"/>
      <c r="BU120" s="95"/>
      <c r="BV120" s="95"/>
      <c r="BW120" s="95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95"/>
      <c r="CM120" s="95"/>
      <c r="CN120" s="95"/>
      <c r="CO120" s="95"/>
      <c r="CP120" s="95"/>
      <c r="CQ120" s="95"/>
      <c r="CR120" s="95"/>
      <c r="CS120" s="95"/>
      <c r="CT120" s="95"/>
      <c r="CU120" s="95"/>
      <c r="CV120" s="95"/>
      <c r="CW120" s="95"/>
      <c r="CX120" s="95"/>
    </row>
    <row r="121" spans="1:102" s="2" customFormat="1" x14ac:dyDescent="0.3">
      <c r="A121" s="95"/>
      <c r="B121" s="95"/>
      <c r="C121" s="111"/>
      <c r="D121" s="95"/>
      <c r="E121" s="111"/>
      <c r="F121" s="111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121"/>
      <c r="W121" s="95"/>
      <c r="X121" s="95"/>
      <c r="Y121" s="121"/>
      <c r="Z121" s="95"/>
      <c r="AA121" s="95"/>
      <c r="AB121" s="95"/>
      <c r="AC121" s="121"/>
      <c r="AD121" s="95"/>
      <c r="AE121" s="95"/>
      <c r="AF121" s="95"/>
      <c r="AG121" s="95"/>
      <c r="AH121" s="23"/>
      <c r="AI121" s="23"/>
      <c r="AJ121" s="92"/>
      <c r="AK121" s="23"/>
      <c r="AL121" s="23"/>
      <c r="AM121" s="23"/>
      <c r="AN121" s="23"/>
      <c r="AO121" s="23"/>
      <c r="AP121" s="69"/>
      <c r="AQ121" s="81"/>
      <c r="AR121" s="81"/>
      <c r="AS121" s="82"/>
      <c r="AT121" s="146"/>
      <c r="AU121" s="83"/>
      <c r="AV121" s="78"/>
      <c r="AW121" s="82"/>
      <c r="AX121" s="23"/>
      <c r="AY121" s="23"/>
      <c r="AZ121" s="132"/>
      <c r="BA121" s="35"/>
      <c r="BB121" s="146"/>
      <c r="BC121" s="146"/>
      <c r="BD121" s="35"/>
      <c r="BE121" s="132"/>
      <c r="BF121" s="86"/>
      <c r="BG121" s="146"/>
      <c r="BH121" s="146"/>
      <c r="BI121" s="35"/>
      <c r="BJ121" s="78"/>
      <c r="BK121" s="63"/>
      <c r="BL121" s="79"/>
      <c r="BM121" s="48"/>
      <c r="BN121" s="78"/>
      <c r="BO121" s="63"/>
      <c r="BP121" s="79"/>
      <c r="BQ121" s="48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  <c r="CS121" s="95"/>
      <c r="CT121" s="95"/>
      <c r="CU121" s="95"/>
      <c r="CV121" s="95"/>
      <c r="CW121" s="95"/>
      <c r="CX121" s="95"/>
    </row>
    <row r="122" spans="1:102" s="2" customFormat="1" ht="18.75" customHeight="1" x14ac:dyDescent="0.3">
      <c r="A122" s="95"/>
      <c r="B122" s="123"/>
      <c r="C122" s="111"/>
      <c r="D122" s="95"/>
      <c r="E122" s="111"/>
      <c r="F122" s="111"/>
      <c r="G122" s="111"/>
      <c r="H122" s="111"/>
      <c r="I122" s="111"/>
      <c r="J122" s="111"/>
      <c r="K122" s="111"/>
      <c r="L122" s="111"/>
      <c r="M122" s="111"/>
      <c r="N122" s="95"/>
      <c r="O122" s="95"/>
      <c r="P122" s="95"/>
      <c r="Q122" s="95"/>
      <c r="R122" s="95"/>
      <c r="S122" s="95"/>
      <c r="T122" s="95"/>
      <c r="U122" s="95"/>
      <c r="V122" s="107"/>
      <c r="W122" s="95"/>
      <c r="X122" s="95"/>
      <c r="Y122" s="107"/>
      <c r="Z122" s="95"/>
      <c r="AA122" s="95"/>
      <c r="AB122" s="95"/>
      <c r="AC122" s="107"/>
      <c r="AD122" s="95"/>
      <c r="AE122" s="95"/>
      <c r="AF122" s="95"/>
      <c r="AG122" s="95"/>
      <c r="AH122" s="23"/>
      <c r="AI122" s="23"/>
      <c r="AJ122" s="225"/>
      <c r="AK122" s="23"/>
      <c r="AL122" s="23"/>
      <c r="AM122" s="23"/>
      <c r="AN122" s="23"/>
      <c r="AO122" s="23"/>
      <c r="AP122" s="69"/>
      <c r="AQ122" s="81"/>
      <c r="AR122" s="81"/>
      <c r="AS122" s="82"/>
      <c r="AT122" s="146"/>
      <c r="AU122" s="83"/>
      <c r="AV122" s="23"/>
      <c r="AW122" s="82"/>
      <c r="AX122" s="23"/>
      <c r="AY122" s="23"/>
      <c r="AZ122" s="132"/>
      <c r="BA122" s="35"/>
      <c r="BB122" s="146"/>
      <c r="BC122" s="146"/>
      <c r="BD122" s="35"/>
      <c r="BE122" s="132"/>
      <c r="BF122" s="35"/>
      <c r="BG122" s="146"/>
      <c r="BH122" s="146"/>
      <c r="BI122" s="35"/>
      <c r="BJ122" s="23"/>
      <c r="BK122" s="28"/>
      <c r="BL122" s="28"/>
      <c r="BM122" s="28"/>
      <c r="BN122" s="23"/>
      <c r="BO122" s="28"/>
      <c r="BP122" s="28"/>
      <c r="BQ122" s="28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  <c r="CS122" s="95"/>
      <c r="CT122" s="95"/>
      <c r="CU122" s="95"/>
      <c r="CV122" s="95"/>
      <c r="CW122" s="95"/>
      <c r="CX122" s="95"/>
    </row>
    <row r="123" spans="1:102" s="2" customFormat="1" ht="19.5" customHeight="1" x14ac:dyDescent="0.3">
      <c r="A123" s="95"/>
      <c r="B123" s="101"/>
      <c r="C123" s="111"/>
      <c r="D123" s="95"/>
      <c r="E123" s="111"/>
      <c r="F123" s="111"/>
      <c r="G123" s="111"/>
      <c r="H123" s="111"/>
      <c r="I123" s="111"/>
      <c r="J123" s="111"/>
      <c r="K123" s="111"/>
      <c r="L123" s="111"/>
      <c r="M123" s="111"/>
      <c r="N123" s="95"/>
      <c r="O123" s="95"/>
      <c r="P123" s="95"/>
      <c r="Q123" s="95"/>
      <c r="R123" s="95"/>
      <c r="S123" s="95"/>
      <c r="T123" s="95"/>
      <c r="U123" s="95"/>
      <c r="V123" s="107"/>
      <c r="W123" s="95"/>
      <c r="X123" s="95"/>
      <c r="Y123" s="107"/>
      <c r="Z123" s="107"/>
      <c r="AA123" s="95"/>
      <c r="AB123" s="95"/>
      <c r="AC123" s="107"/>
      <c r="AD123" s="95"/>
      <c r="AE123" s="95"/>
      <c r="AF123" s="95"/>
      <c r="AG123" s="95"/>
      <c r="AH123" s="23"/>
      <c r="AI123" s="23"/>
      <c r="AJ123" s="225"/>
      <c r="AK123" s="23"/>
      <c r="AL123" s="23"/>
      <c r="AM123" s="23"/>
      <c r="AN123" s="23"/>
      <c r="AO123" s="23"/>
      <c r="AP123" s="69"/>
      <c r="AQ123" s="81"/>
      <c r="AR123" s="81"/>
      <c r="AS123" s="82"/>
      <c r="AT123" s="146"/>
      <c r="AU123" s="83"/>
      <c r="AV123" s="23"/>
      <c r="AW123" s="82"/>
      <c r="AX123" s="23"/>
      <c r="AY123" s="23"/>
      <c r="AZ123" s="132"/>
      <c r="BA123" s="35"/>
      <c r="BB123" s="146"/>
      <c r="BC123" s="146"/>
      <c r="BD123" s="35"/>
      <c r="BE123" s="132"/>
      <c r="BF123" s="35"/>
      <c r="BG123" s="146"/>
      <c r="BH123" s="146"/>
      <c r="BI123" s="35"/>
      <c r="BJ123" s="23"/>
      <c r="BK123" s="28"/>
      <c r="BL123" s="28"/>
      <c r="BM123" s="28"/>
      <c r="BN123" s="23"/>
      <c r="BO123" s="28"/>
      <c r="BP123" s="28"/>
      <c r="BQ123" s="28"/>
      <c r="BR123" s="95"/>
      <c r="BS123" s="95"/>
      <c r="BT123" s="95"/>
      <c r="BU123" s="95"/>
      <c r="BV123" s="95"/>
      <c r="BW123" s="95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5"/>
      <c r="CR123" s="95"/>
      <c r="CS123" s="95"/>
      <c r="CT123" s="95"/>
      <c r="CU123" s="95"/>
      <c r="CV123" s="95"/>
      <c r="CW123" s="95"/>
      <c r="CX123" s="95"/>
    </row>
    <row r="124" spans="1:102" s="2" customFormat="1" x14ac:dyDescent="0.3">
      <c r="A124" s="95"/>
      <c r="B124" s="101"/>
      <c r="C124" s="111"/>
      <c r="D124" s="95"/>
      <c r="E124" s="111"/>
      <c r="F124" s="111"/>
      <c r="G124" s="111"/>
      <c r="H124" s="111"/>
      <c r="I124" s="111"/>
      <c r="J124" s="111"/>
      <c r="K124" s="111"/>
      <c r="L124" s="111"/>
      <c r="M124" s="111"/>
      <c r="N124" s="95"/>
      <c r="O124" s="95"/>
      <c r="P124" s="95"/>
      <c r="Q124" s="95"/>
      <c r="R124" s="95"/>
      <c r="S124" s="95"/>
      <c r="T124" s="95"/>
      <c r="U124" s="95"/>
      <c r="V124" s="107"/>
      <c r="W124" s="95"/>
      <c r="X124" s="95"/>
      <c r="Y124" s="107"/>
      <c r="Z124" s="107"/>
      <c r="AA124" s="95"/>
      <c r="AB124" s="95"/>
      <c r="AC124" s="107"/>
      <c r="AD124" s="95"/>
      <c r="AE124" s="95"/>
      <c r="AF124" s="95"/>
      <c r="AG124" s="95"/>
      <c r="AH124" s="23"/>
      <c r="AI124" s="23"/>
      <c r="AJ124" s="225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4"/>
      <c r="AX124" s="23"/>
      <c r="AY124" s="23"/>
      <c r="AZ124" s="132"/>
      <c r="BA124" s="35"/>
      <c r="BB124" s="23"/>
      <c r="BC124" s="23"/>
      <c r="BD124" s="35"/>
      <c r="BE124" s="132"/>
      <c r="BF124" s="35"/>
      <c r="BG124" s="23"/>
      <c r="BH124" s="23"/>
      <c r="BI124" s="35"/>
      <c r="BJ124" s="82"/>
      <c r="BK124" s="48"/>
      <c r="BL124" s="84"/>
      <c r="BM124" s="28"/>
      <c r="BN124" s="23"/>
      <c r="BO124" s="28"/>
      <c r="BP124" s="28"/>
      <c r="BQ124" s="28"/>
      <c r="BR124" s="95"/>
      <c r="BS124" s="95"/>
      <c r="BT124" s="95"/>
      <c r="BU124" s="95"/>
      <c r="BV124" s="95"/>
      <c r="BW124" s="95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5"/>
      <c r="CR124" s="95"/>
      <c r="CS124" s="95"/>
      <c r="CT124" s="95"/>
      <c r="CU124" s="95"/>
      <c r="CV124" s="95"/>
      <c r="CW124" s="95"/>
      <c r="CX124" s="95"/>
    </row>
    <row r="125" spans="1:102" s="2" customFormat="1" x14ac:dyDescent="0.3">
      <c r="A125" s="95"/>
      <c r="B125" s="101"/>
      <c r="C125" s="111"/>
      <c r="D125" s="95"/>
      <c r="E125" s="111"/>
      <c r="F125" s="111"/>
      <c r="G125" s="111"/>
      <c r="H125" s="111"/>
      <c r="I125" s="111"/>
      <c r="J125" s="111"/>
      <c r="K125" s="111"/>
      <c r="L125" s="111"/>
      <c r="M125" s="111"/>
      <c r="N125" s="95"/>
      <c r="O125" s="95"/>
      <c r="P125" s="95"/>
      <c r="Q125" s="95"/>
      <c r="R125" s="95"/>
      <c r="S125" s="95"/>
      <c r="T125" s="95"/>
      <c r="U125" s="95"/>
      <c r="V125" s="107"/>
      <c r="W125" s="95"/>
      <c r="X125" s="95"/>
      <c r="Y125" s="107"/>
      <c r="Z125" s="107"/>
      <c r="AA125" s="95"/>
      <c r="AB125" s="95"/>
      <c r="AC125" s="107"/>
      <c r="AD125" s="95"/>
      <c r="AE125" s="95"/>
      <c r="AF125" s="95"/>
      <c r="AG125" s="95"/>
      <c r="AH125" s="23"/>
      <c r="AI125" s="23"/>
      <c r="AJ125" s="225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4"/>
      <c r="AX125" s="23"/>
      <c r="AY125" s="23"/>
      <c r="AZ125" s="132"/>
      <c r="BA125" s="35"/>
      <c r="BB125" s="23"/>
      <c r="BC125" s="23"/>
      <c r="BD125" s="35"/>
      <c r="BE125" s="132"/>
      <c r="BF125" s="35"/>
      <c r="BG125" s="23"/>
      <c r="BH125" s="23"/>
      <c r="BI125" s="35"/>
      <c r="BJ125" s="78"/>
      <c r="BK125" s="93"/>
      <c r="BL125" s="35"/>
      <c r="BM125" s="28"/>
      <c r="BN125" s="23"/>
      <c r="BO125" s="28"/>
      <c r="BP125" s="28"/>
      <c r="BQ125" s="28"/>
      <c r="BR125" s="95"/>
      <c r="BS125" s="95"/>
      <c r="BT125" s="95"/>
      <c r="BU125" s="95"/>
      <c r="BV125" s="95"/>
      <c r="BW125" s="95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5"/>
      <c r="CR125" s="95"/>
      <c r="CS125" s="95"/>
      <c r="CT125" s="95"/>
      <c r="CU125" s="95"/>
      <c r="CV125" s="95"/>
      <c r="CW125" s="95"/>
      <c r="CX125" s="95"/>
    </row>
    <row r="126" spans="1:102" s="2" customFormat="1" ht="18.75" customHeight="1" x14ac:dyDescent="0.3">
      <c r="A126" s="95"/>
      <c r="B126" s="101"/>
      <c r="C126" s="111"/>
      <c r="D126" s="95"/>
      <c r="E126" s="111"/>
      <c r="F126" s="111"/>
      <c r="G126" s="111"/>
      <c r="H126" s="111"/>
      <c r="I126" s="111"/>
      <c r="J126" s="111"/>
      <c r="K126" s="111"/>
      <c r="L126" s="111"/>
      <c r="M126" s="111"/>
      <c r="N126" s="95"/>
      <c r="O126" s="95"/>
      <c r="P126" s="95"/>
      <c r="Q126" s="95"/>
      <c r="R126" s="95"/>
      <c r="S126" s="95"/>
      <c r="T126" s="95"/>
      <c r="U126" s="95"/>
      <c r="V126" s="107"/>
      <c r="W126" s="95"/>
      <c r="X126" s="95"/>
      <c r="Y126" s="107"/>
      <c r="Z126" s="107"/>
      <c r="AA126" s="95"/>
      <c r="AB126" s="95"/>
      <c r="AC126" s="107"/>
      <c r="AD126" s="95"/>
      <c r="AE126" s="95"/>
      <c r="AF126" s="95"/>
      <c r="AG126" s="95"/>
      <c r="AH126" s="23"/>
      <c r="AI126" s="23"/>
      <c r="AJ126" s="225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4"/>
      <c r="AX126" s="23"/>
      <c r="AY126" s="23"/>
      <c r="AZ126" s="132"/>
      <c r="BA126" s="35"/>
      <c r="BB126" s="23"/>
      <c r="BC126" s="23"/>
      <c r="BD126" s="35"/>
      <c r="BE126" s="132"/>
      <c r="BF126" s="35"/>
      <c r="BG126" s="23"/>
      <c r="BH126" s="23"/>
      <c r="BI126" s="35"/>
      <c r="BJ126" s="78"/>
      <c r="BK126" s="93"/>
      <c r="BL126" s="35"/>
      <c r="BM126" s="28"/>
      <c r="BN126" s="23"/>
      <c r="BO126" s="28"/>
      <c r="BP126" s="28"/>
      <c r="BQ126" s="28"/>
      <c r="BR126" s="95"/>
      <c r="BS126" s="95"/>
      <c r="BT126" s="95"/>
      <c r="BU126" s="95"/>
      <c r="BV126" s="95"/>
      <c r="BW126" s="95"/>
      <c r="BX126" s="95"/>
      <c r="BY126" s="95"/>
      <c r="BZ126" s="95"/>
      <c r="CA126" s="95"/>
      <c r="CB126" s="95"/>
      <c r="CC126" s="95"/>
      <c r="CD126" s="95"/>
      <c r="CE126" s="95"/>
      <c r="CF126" s="95"/>
      <c r="CG126" s="95"/>
      <c r="CH126" s="95"/>
      <c r="CI126" s="95"/>
      <c r="CJ126" s="95"/>
      <c r="CK126" s="95"/>
      <c r="CL126" s="95"/>
      <c r="CM126" s="95"/>
      <c r="CN126" s="95"/>
      <c r="CO126" s="95"/>
      <c r="CP126" s="95"/>
      <c r="CQ126" s="95"/>
      <c r="CR126" s="95"/>
      <c r="CS126" s="95"/>
      <c r="CT126" s="95"/>
      <c r="CU126" s="95"/>
      <c r="CV126" s="95"/>
      <c r="CW126" s="95"/>
      <c r="CX126" s="95"/>
    </row>
    <row r="127" spans="1:102" s="2" customFormat="1" x14ac:dyDescent="0.3">
      <c r="A127" s="95"/>
      <c r="B127" s="101"/>
      <c r="C127" s="111"/>
      <c r="D127" s="95"/>
      <c r="E127" s="111"/>
      <c r="F127" s="111"/>
      <c r="G127" s="111"/>
      <c r="H127" s="111"/>
      <c r="I127" s="111"/>
      <c r="J127" s="111"/>
      <c r="K127" s="111"/>
      <c r="L127" s="111"/>
      <c r="M127" s="111"/>
      <c r="N127" s="95"/>
      <c r="O127" s="95"/>
      <c r="P127" s="95"/>
      <c r="Q127" s="95"/>
      <c r="R127" s="95"/>
      <c r="S127" s="95"/>
      <c r="T127" s="95"/>
      <c r="U127" s="95"/>
      <c r="V127" s="107"/>
      <c r="W127" s="95"/>
      <c r="X127" s="95"/>
      <c r="Y127" s="107"/>
      <c r="Z127" s="107"/>
      <c r="AA127" s="95"/>
      <c r="AB127" s="95"/>
      <c r="AC127" s="107"/>
      <c r="AD127" s="95"/>
      <c r="AE127" s="95"/>
      <c r="AF127" s="95"/>
      <c r="AG127" s="95"/>
      <c r="AH127" s="23"/>
      <c r="AI127" s="23"/>
      <c r="AJ127" s="225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4"/>
      <c r="AX127" s="23"/>
      <c r="AY127" s="23"/>
      <c r="AZ127" s="132"/>
      <c r="BA127" s="35"/>
      <c r="BB127" s="23"/>
      <c r="BC127" s="23"/>
      <c r="BD127" s="35"/>
      <c r="BE127" s="132"/>
      <c r="BF127" s="35"/>
      <c r="BG127" s="23"/>
      <c r="BH127" s="23"/>
      <c r="BI127" s="35"/>
      <c r="BJ127" s="78"/>
      <c r="BK127" s="93"/>
      <c r="BL127" s="35"/>
      <c r="BM127" s="28"/>
      <c r="BN127" s="23"/>
      <c r="BO127" s="28"/>
      <c r="BP127" s="28"/>
      <c r="BQ127" s="28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95"/>
      <c r="CJ127" s="95"/>
      <c r="CK127" s="95"/>
      <c r="CL127" s="95"/>
      <c r="CM127" s="95"/>
      <c r="CN127" s="95"/>
      <c r="CO127" s="95"/>
      <c r="CP127" s="95"/>
      <c r="CQ127" s="95"/>
      <c r="CR127" s="95"/>
      <c r="CS127" s="95"/>
      <c r="CT127" s="95"/>
      <c r="CU127" s="95"/>
      <c r="CV127" s="95"/>
      <c r="CW127" s="95"/>
      <c r="CX127" s="95"/>
    </row>
    <row r="128" spans="1:102" s="2" customFormat="1" x14ac:dyDescent="0.3">
      <c r="A128" s="95"/>
      <c r="B128" s="101"/>
      <c r="C128" s="111"/>
      <c r="D128" s="95"/>
      <c r="E128" s="111"/>
      <c r="F128" s="111"/>
      <c r="G128" s="111"/>
      <c r="H128" s="111"/>
      <c r="I128" s="111"/>
      <c r="J128" s="111"/>
      <c r="K128" s="111"/>
      <c r="L128" s="111"/>
      <c r="M128" s="111"/>
      <c r="N128" s="95"/>
      <c r="O128" s="95"/>
      <c r="P128" s="95"/>
      <c r="Q128" s="95"/>
      <c r="R128" s="95"/>
      <c r="S128" s="95"/>
      <c r="T128" s="95"/>
      <c r="U128" s="95"/>
      <c r="V128" s="107"/>
      <c r="W128" s="95"/>
      <c r="X128" s="95"/>
      <c r="Y128" s="107"/>
      <c r="Z128" s="107"/>
      <c r="AA128" s="95"/>
      <c r="AB128" s="95"/>
      <c r="AC128" s="107"/>
      <c r="AD128" s="95"/>
      <c r="AE128" s="95"/>
      <c r="AF128" s="95"/>
      <c r="AG128" s="95"/>
      <c r="AH128" s="23"/>
      <c r="AI128" s="23"/>
      <c r="AJ128" s="225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4"/>
      <c r="AX128" s="23"/>
      <c r="AY128" s="23"/>
      <c r="AZ128" s="132"/>
      <c r="BA128" s="35"/>
      <c r="BB128" s="23"/>
      <c r="BC128" s="23"/>
      <c r="BD128" s="35"/>
      <c r="BE128" s="132"/>
      <c r="BF128" s="35"/>
      <c r="BG128" s="23"/>
      <c r="BH128" s="23"/>
      <c r="BI128" s="35"/>
      <c r="BJ128" s="78"/>
      <c r="BK128" s="93"/>
      <c r="BL128" s="35"/>
      <c r="BM128" s="28"/>
      <c r="BN128" s="23"/>
      <c r="BO128" s="28"/>
      <c r="BP128" s="28"/>
      <c r="BQ128" s="28"/>
      <c r="BR128" s="95"/>
      <c r="BS128" s="95"/>
      <c r="BT128" s="95"/>
      <c r="BU128" s="95"/>
      <c r="BV128" s="95"/>
      <c r="BW128" s="95"/>
      <c r="BX128" s="95"/>
      <c r="BY128" s="95"/>
      <c r="BZ128" s="95"/>
      <c r="CA128" s="95"/>
      <c r="CB128" s="95"/>
      <c r="CC128" s="95"/>
      <c r="CD128" s="95"/>
      <c r="CE128" s="95"/>
      <c r="CF128" s="95"/>
      <c r="CG128" s="95"/>
      <c r="CH128" s="95"/>
      <c r="CI128" s="95"/>
      <c r="CJ128" s="95"/>
      <c r="CK128" s="95"/>
      <c r="CL128" s="95"/>
      <c r="CM128" s="95"/>
      <c r="CN128" s="95"/>
      <c r="CO128" s="95"/>
      <c r="CP128" s="95"/>
      <c r="CQ128" s="95"/>
      <c r="CR128" s="95"/>
      <c r="CS128" s="95"/>
      <c r="CT128" s="95"/>
      <c r="CU128" s="95"/>
      <c r="CV128" s="95"/>
      <c r="CW128" s="95"/>
      <c r="CX128" s="95"/>
    </row>
    <row r="129" spans="1:102" s="2" customFormat="1" x14ac:dyDescent="0.3">
      <c r="A129" s="95"/>
      <c r="B129" s="101"/>
      <c r="C129" s="111"/>
      <c r="D129" s="95"/>
      <c r="E129" s="111"/>
      <c r="F129" s="111"/>
      <c r="G129" s="111"/>
      <c r="H129" s="111"/>
      <c r="I129" s="111"/>
      <c r="J129" s="111"/>
      <c r="K129" s="111"/>
      <c r="L129" s="111"/>
      <c r="M129" s="111"/>
      <c r="N129" s="95"/>
      <c r="O129" s="95"/>
      <c r="P129" s="95"/>
      <c r="Q129" s="95"/>
      <c r="R129" s="95"/>
      <c r="S129" s="95"/>
      <c r="T129" s="95"/>
      <c r="U129" s="95"/>
      <c r="V129" s="107"/>
      <c r="W129" s="95"/>
      <c r="X129" s="95"/>
      <c r="Y129" s="107"/>
      <c r="Z129" s="107"/>
      <c r="AA129" s="95"/>
      <c r="AB129" s="95"/>
      <c r="AC129" s="107"/>
      <c r="AD129" s="95"/>
      <c r="AE129" s="95"/>
      <c r="AF129" s="95"/>
      <c r="AG129" s="95"/>
      <c r="AH129" s="23"/>
      <c r="AI129" s="23"/>
      <c r="AJ129" s="225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4"/>
      <c r="AX129" s="23"/>
      <c r="AY129" s="23"/>
      <c r="AZ129" s="132"/>
      <c r="BA129" s="35"/>
      <c r="BB129" s="23"/>
      <c r="BC129" s="23"/>
      <c r="BD129" s="35"/>
      <c r="BE129" s="132"/>
      <c r="BF129" s="35"/>
      <c r="BG129" s="23"/>
      <c r="BH129" s="23"/>
      <c r="BI129" s="35"/>
      <c r="BJ129" s="78">
        <f>BJ74*Vergleich!CF33</f>
        <v>0</v>
      </c>
      <c r="BK129" s="93"/>
      <c r="BL129" s="35">
        <f>ROUND(AS74*Vergleich!CG33,)</f>
        <v>0</v>
      </c>
      <c r="BM129" s="28"/>
      <c r="BN129" s="23"/>
      <c r="BO129" s="28"/>
      <c r="BP129" s="28"/>
      <c r="BQ129" s="28"/>
      <c r="BR129" s="95"/>
      <c r="BS129" s="95"/>
      <c r="BT129" s="95"/>
      <c r="BU129" s="95"/>
      <c r="BV129" s="95"/>
      <c r="BW129" s="95"/>
      <c r="BX129" s="95"/>
      <c r="BY129" s="95"/>
      <c r="BZ129" s="95"/>
      <c r="CA129" s="95"/>
      <c r="CB129" s="95"/>
      <c r="CC129" s="95"/>
      <c r="CD129" s="95"/>
      <c r="CE129" s="95"/>
      <c r="CF129" s="95"/>
      <c r="CG129" s="95"/>
      <c r="CH129" s="95"/>
      <c r="CI129" s="95"/>
      <c r="CJ129" s="95"/>
      <c r="CK129" s="95"/>
      <c r="CL129" s="95"/>
      <c r="CM129" s="95"/>
      <c r="CN129" s="95"/>
      <c r="CO129" s="95"/>
      <c r="CP129" s="95"/>
      <c r="CQ129" s="95"/>
      <c r="CR129" s="95"/>
      <c r="CS129" s="95"/>
      <c r="CT129" s="95"/>
      <c r="CU129" s="95"/>
      <c r="CV129" s="95"/>
      <c r="CW129" s="95"/>
      <c r="CX129" s="95"/>
    </row>
    <row r="130" spans="1:102" s="2" customFormat="1" x14ac:dyDescent="0.3">
      <c r="A130" s="95"/>
      <c r="B130" s="101"/>
      <c r="C130" s="111"/>
      <c r="D130" s="95"/>
      <c r="E130" s="111"/>
      <c r="F130" s="111"/>
      <c r="G130" s="111"/>
      <c r="H130" s="111"/>
      <c r="I130" s="111"/>
      <c r="J130" s="111"/>
      <c r="K130" s="111"/>
      <c r="L130" s="111"/>
      <c r="M130" s="111"/>
      <c r="N130" s="95"/>
      <c r="O130" s="95"/>
      <c r="P130" s="95"/>
      <c r="Q130" s="95"/>
      <c r="R130" s="95"/>
      <c r="S130" s="95"/>
      <c r="T130" s="95"/>
      <c r="U130" s="95"/>
      <c r="V130" s="107"/>
      <c r="W130" s="95"/>
      <c r="X130" s="95"/>
      <c r="Y130" s="107"/>
      <c r="Z130" s="107"/>
      <c r="AA130" s="95"/>
      <c r="AB130" s="95"/>
      <c r="AC130" s="107"/>
      <c r="AD130" s="95"/>
      <c r="AE130" s="95"/>
      <c r="AF130" s="95"/>
      <c r="AG130" s="95"/>
      <c r="AH130" s="23"/>
      <c r="AI130" s="23"/>
      <c r="AJ130" s="225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4"/>
      <c r="AX130" s="23"/>
      <c r="AY130" s="23"/>
      <c r="AZ130" s="132"/>
      <c r="BA130" s="35"/>
      <c r="BB130" s="23"/>
      <c r="BC130" s="23"/>
      <c r="BD130" s="35"/>
      <c r="BE130" s="132"/>
      <c r="BF130" s="35"/>
      <c r="BG130" s="23"/>
      <c r="BH130" s="23"/>
      <c r="BI130" s="35"/>
      <c r="BJ130" s="83">
        <f>MIN(BJ125:BJ129)</f>
        <v>0</v>
      </c>
      <c r="BK130" s="28"/>
      <c r="BL130" s="86">
        <f>MIN(BL125:BL129)</f>
        <v>0</v>
      </c>
      <c r="BM130" s="28"/>
      <c r="BN130" s="23"/>
      <c r="BO130" s="28"/>
      <c r="BP130" s="28"/>
      <c r="BQ130" s="28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  <c r="CS130" s="95"/>
      <c r="CT130" s="95"/>
      <c r="CU130" s="95"/>
      <c r="CV130" s="95"/>
      <c r="CW130" s="95"/>
      <c r="CX130" s="95"/>
    </row>
    <row r="131" spans="1:102" s="2" customFormat="1" x14ac:dyDescent="0.3">
      <c r="A131" s="95"/>
      <c r="B131" s="101"/>
      <c r="C131" s="111"/>
      <c r="D131" s="95"/>
      <c r="E131" s="111"/>
      <c r="F131" s="111"/>
      <c r="G131" s="111"/>
      <c r="H131" s="111"/>
      <c r="I131" s="111"/>
      <c r="J131" s="111"/>
      <c r="K131" s="111"/>
      <c r="L131" s="111"/>
      <c r="M131" s="111"/>
      <c r="N131" s="95"/>
      <c r="O131" s="95"/>
      <c r="P131" s="95"/>
      <c r="Q131" s="95"/>
      <c r="R131" s="95"/>
      <c r="S131" s="95"/>
      <c r="T131" s="95"/>
      <c r="U131" s="95"/>
      <c r="V131" s="107"/>
      <c r="W131" s="95"/>
      <c r="X131" s="95"/>
      <c r="Y131" s="107"/>
      <c r="Z131" s="107"/>
      <c r="AA131" s="95"/>
      <c r="AB131" s="95"/>
      <c r="AC131" s="107"/>
      <c r="AD131" s="95"/>
      <c r="AE131" s="95"/>
      <c r="AF131" s="95"/>
      <c r="AG131" s="95"/>
      <c r="AH131" s="23"/>
      <c r="AI131" s="23"/>
      <c r="AJ131" s="225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4"/>
      <c r="AX131" s="23"/>
      <c r="AY131" s="23"/>
      <c r="AZ131" s="132"/>
      <c r="BA131" s="35"/>
      <c r="BB131" s="23"/>
      <c r="BC131" s="23"/>
      <c r="BD131" s="35"/>
      <c r="BE131" s="132"/>
      <c r="BF131" s="35"/>
      <c r="BG131" s="23"/>
      <c r="BH131" s="23"/>
      <c r="BI131" s="35"/>
      <c r="BJ131" s="23"/>
      <c r="BK131" s="28"/>
      <c r="BL131" s="28"/>
      <c r="BM131" s="28"/>
      <c r="BN131" s="23"/>
      <c r="BO131" s="28"/>
      <c r="BP131" s="28"/>
      <c r="BQ131" s="28"/>
      <c r="BR131" s="95"/>
      <c r="BS131" s="95"/>
      <c r="BT131" s="95"/>
      <c r="BU131" s="95"/>
      <c r="BV131" s="95"/>
      <c r="BW131" s="95"/>
      <c r="BX131" s="95"/>
      <c r="BY131" s="95"/>
      <c r="BZ131" s="95"/>
      <c r="CA131" s="95"/>
      <c r="CB131" s="95"/>
      <c r="CC131" s="95"/>
      <c r="CD131" s="95"/>
      <c r="CE131" s="95"/>
      <c r="CF131" s="95"/>
      <c r="CG131" s="95"/>
      <c r="CH131" s="95"/>
      <c r="CI131" s="95"/>
      <c r="CJ131" s="95"/>
      <c r="CK131" s="95"/>
      <c r="CL131" s="95"/>
      <c r="CM131" s="95"/>
      <c r="CN131" s="95"/>
      <c r="CO131" s="95"/>
      <c r="CP131" s="95"/>
      <c r="CQ131" s="95"/>
      <c r="CR131" s="95"/>
      <c r="CS131" s="95"/>
      <c r="CT131" s="95"/>
      <c r="CU131" s="95"/>
      <c r="CV131" s="95"/>
      <c r="CW131" s="95"/>
      <c r="CX131" s="95"/>
    </row>
    <row r="132" spans="1:102" s="2" customFormat="1" x14ac:dyDescent="0.3">
      <c r="A132" s="95"/>
      <c r="B132" s="101"/>
      <c r="C132" s="111"/>
      <c r="D132" s="95"/>
      <c r="E132" s="111"/>
      <c r="F132" s="111"/>
      <c r="G132" s="111"/>
      <c r="H132" s="111"/>
      <c r="I132" s="111"/>
      <c r="J132" s="111"/>
      <c r="K132" s="111"/>
      <c r="L132" s="111"/>
      <c r="M132" s="111"/>
      <c r="N132" s="95"/>
      <c r="O132" s="95"/>
      <c r="P132" s="95"/>
      <c r="Q132" s="95"/>
      <c r="R132" s="95"/>
      <c r="S132" s="95"/>
      <c r="T132" s="95"/>
      <c r="U132" s="95"/>
      <c r="V132" s="107"/>
      <c r="W132" s="95"/>
      <c r="X132" s="95"/>
      <c r="Y132" s="107"/>
      <c r="Z132" s="107"/>
      <c r="AA132" s="95"/>
      <c r="AB132" s="95"/>
      <c r="AC132" s="107"/>
      <c r="AD132" s="95"/>
      <c r="AE132" s="95"/>
      <c r="AF132" s="95"/>
      <c r="AG132" s="95"/>
      <c r="AH132" s="23"/>
      <c r="AI132" s="23"/>
      <c r="AJ132" s="225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4"/>
      <c r="AX132" s="23"/>
      <c r="AY132" s="23"/>
      <c r="AZ132" s="132"/>
      <c r="BA132" s="35"/>
      <c r="BB132" s="23"/>
      <c r="BC132" s="23"/>
      <c r="BD132" s="35"/>
      <c r="BE132" s="132"/>
      <c r="BF132" s="35"/>
      <c r="BG132" s="23"/>
      <c r="BH132" s="23"/>
      <c r="BI132" s="35"/>
      <c r="BJ132" s="23"/>
      <c r="BK132" s="28"/>
      <c r="BL132" s="28"/>
      <c r="BM132" s="28"/>
      <c r="BN132" s="23"/>
      <c r="BO132" s="28"/>
      <c r="BP132" s="28"/>
      <c r="BQ132" s="28"/>
      <c r="BR132" s="95"/>
      <c r="BS132" s="95"/>
      <c r="BT132" s="95"/>
      <c r="BU132" s="95"/>
      <c r="BV132" s="95"/>
      <c r="BW132" s="95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95"/>
      <c r="CM132" s="95"/>
      <c r="CN132" s="95"/>
      <c r="CO132" s="95"/>
      <c r="CP132" s="95"/>
      <c r="CQ132" s="95"/>
      <c r="CR132" s="95"/>
      <c r="CS132" s="95"/>
      <c r="CT132" s="95"/>
      <c r="CU132" s="95"/>
      <c r="CV132" s="95"/>
      <c r="CW132" s="95"/>
      <c r="CX132" s="95"/>
    </row>
    <row r="133" spans="1:102" s="2" customFormat="1" x14ac:dyDescent="0.3">
      <c r="A133" s="95"/>
      <c r="B133" s="101"/>
      <c r="C133" s="111"/>
      <c r="D133" s="95"/>
      <c r="E133" s="111"/>
      <c r="F133" s="111"/>
      <c r="G133" s="111"/>
      <c r="H133" s="111"/>
      <c r="I133" s="111"/>
      <c r="J133" s="111"/>
      <c r="K133" s="111"/>
      <c r="L133" s="111"/>
      <c r="M133" s="111"/>
      <c r="N133" s="95"/>
      <c r="O133" s="95"/>
      <c r="P133" s="95"/>
      <c r="Q133" s="95"/>
      <c r="R133" s="95"/>
      <c r="S133" s="95"/>
      <c r="T133" s="95"/>
      <c r="U133" s="95"/>
      <c r="V133" s="107"/>
      <c r="W133" s="95"/>
      <c r="X133" s="95"/>
      <c r="Y133" s="107"/>
      <c r="Z133" s="107"/>
      <c r="AA133" s="95"/>
      <c r="AB133" s="95"/>
      <c r="AC133" s="107"/>
      <c r="AD133" s="95"/>
      <c r="AE133" s="95"/>
      <c r="AF133" s="95"/>
      <c r="AG133" s="95"/>
      <c r="AH133" s="23"/>
      <c r="AI133" s="23"/>
      <c r="AJ133" s="225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4"/>
      <c r="AX133" s="23"/>
      <c r="AY133" s="23"/>
      <c r="AZ133" s="132"/>
      <c r="BA133" s="35"/>
      <c r="BB133" s="23"/>
      <c r="BC133" s="23"/>
      <c r="BD133" s="35"/>
      <c r="BE133" s="132"/>
      <c r="BF133" s="35"/>
      <c r="BG133" s="23"/>
      <c r="BH133" s="23"/>
      <c r="BI133" s="35"/>
      <c r="BJ133" s="23"/>
      <c r="BK133" s="28"/>
      <c r="BL133" s="28"/>
      <c r="BM133" s="28"/>
      <c r="BN133" s="23"/>
      <c r="BO133" s="28"/>
      <c r="BP133" s="28"/>
      <c r="BQ133" s="28"/>
      <c r="BR133" s="95"/>
      <c r="BS133" s="95"/>
      <c r="BT133" s="95"/>
      <c r="BU133" s="95"/>
      <c r="BV133" s="95"/>
      <c r="BW133" s="95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95"/>
      <c r="CM133" s="95"/>
      <c r="CN133" s="95"/>
      <c r="CO133" s="95"/>
      <c r="CP133" s="95"/>
      <c r="CQ133" s="95"/>
      <c r="CR133" s="95"/>
      <c r="CS133" s="95"/>
      <c r="CT133" s="95"/>
      <c r="CU133" s="95"/>
      <c r="CV133" s="95"/>
      <c r="CW133" s="95"/>
      <c r="CX133" s="95"/>
    </row>
    <row r="134" spans="1:102" s="2" customFormat="1" x14ac:dyDescent="0.3">
      <c r="A134" s="95"/>
      <c r="B134" s="101"/>
      <c r="C134" s="111"/>
      <c r="D134" s="95"/>
      <c r="E134" s="111"/>
      <c r="F134" s="111"/>
      <c r="G134" s="111"/>
      <c r="H134" s="111"/>
      <c r="I134" s="111"/>
      <c r="J134" s="111"/>
      <c r="K134" s="111"/>
      <c r="L134" s="111"/>
      <c r="M134" s="111"/>
      <c r="N134" s="95"/>
      <c r="O134" s="95"/>
      <c r="P134" s="95"/>
      <c r="Q134" s="95"/>
      <c r="R134" s="95"/>
      <c r="S134" s="95"/>
      <c r="T134" s="95"/>
      <c r="U134" s="95"/>
      <c r="V134" s="107"/>
      <c r="W134" s="95"/>
      <c r="X134" s="95"/>
      <c r="Y134" s="107"/>
      <c r="Z134" s="107"/>
      <c r="AA134" s="95"/>
      <c r="AB134" s="95"/>
      <c r="AC134" s="107"/>
      <c r="AD134" s="95"/>
      <c r="AE134" s="95"/>
      <c r="AF134" s="95"/>
      <c r="AG134" s="95"/>
      <c r="AH134" s="23"/>
      <c r="AI134" s="23"/>
      <c r="AJ134" s="225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4"/>
      <c r="AX134" s="23"/>
      <c r="AY134" s="23"/>
      <c r="AZ134" s="132"/>
      <c r="BA134" s="35"/>
      <c r="BB134" s="23"/>
      <c r="BC134" s="23"/>
      <c r="BD134" s="35"/>
      <c r="BE134" s="132"/>
      <c r="BF134" s="35"/>
      <c r="BG134" s="23"/>
      <c r="BH134" s="23"/>
      <c r="BI134" s="35"/>
      <c r="BJ134" s="23"/>
      <c r="BK134" s="28"/>
      <c r="BL134" s="28"/>
      <c r="BM134" s="28"/>
      <c r="BN134" s="23"/>
      <c r="BO134" s="28"/>
      <c r="BP134" s="28"/>
      <c r="BQ134" s="28"/>
      <c r="BR134" s="95"/>
      <c r="BS134" s="95"/>
      <c r="BT134" s="95"/>
      <c r="BU134" s="95"/>
      <c r="BV134" s="95"/>
      <c r="BW134" s="95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95"/>
      <c r="CM134" s="95"/>
      <c r="CN134" s="95"/>
      <c r="CO134" s="95"/>
      <c r="CP134" s="95"/>
      <c r="CQ134" s="95"/>
      <c r="CR134" s="95"/>
      <c r="CS134" s="95"/>
      <c r="CT134" s="95"/>
      <c r="CU134" s="95"/>
      <c r="CV134" s="95"/>
      <c r="CW134" s="95"/>
      <c r="CX134" s="95"/>
    </row>
    <row r="135" spans="1:102" s="2" customFormat="1" x14ac:dyDescent="0.3">
      <c r="A135" s="95"/>
      <c r="B135" s="101"/>
      <c r="C135" s="111"/>
      <c r="D135" s="95"/>
      <c r="E135" s="111"/>
      <c r="F135" s="111"/>
      <c r="G135" s="111"/>
      <c r="H135" s="111"/>
      <c r="I135" s="111"/>
      <c r="J135" s="111"/>
      <c r="K135" s="111"/>
      <c r="L135" s="111"/>
      <c r="M135" s="111"/>
      <c r="N135" s="95"/>
      <c r="O135" s="95"/>
      <c r="P135" s="95"/>
      <c r="Q135" s="95"/>
      <c r="R135" s="95"/>
      <c r="S135" s="95"/>
      <c r="T135" s="95"/>
      <c r="U135" s="95"/>
      <c r="V135" s="107"/>
      <c r="W135" s="95"/>
      <c r="X135" s="95"/>
      <c r="Y135" s="107"/>
      <c r="Z135" s="107"/>
      <c r="AA135" s="95"/>
      <c r="AB135" s="95"/>
      <c r="AC135" s="107"/>
      <c r="AD135" s="95"/>
      <c r="AE135" s="95"/>
      <c r="AF135" s="95"/>
      <c r="AG135" s="95"/>
      <c r="AH135" s="23"/>
      <c r="AI135" s="23"/>
      <c r="AJ135" s="225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4"/>
      <c r="AX135" s="23"/>
      <c r="AY135" s="23"/>
      <c r="AZ135" s="132"/>
      <c r="BA135" s="35"/>
      <c r="BB135" s="23"/>
      <c r="BC135" s="23"/>
      <c r="BD135" s="35"/>
      <c r="BE135" s="132"/>
      <c r="BF135" s="35"/>
      <c r="BG135" s="23"/>
      <c r="BH135" s="23"/>
      <c r="BI135" s="35"/>
      <c r="BJ135" s="23"/>
      <c r="BK135" s="28"/>
      <c r="BL135" s="28"/>
      <c r="BM135" s="28"/>
      <c r="BN135" s="23"/>
      <c r="BO135" s="28"/>
      <c r="BP135" s="28"/>
      <c r="BQ135" s="28"/>
      <c r="BR135" s="95"/>
      <c r="BS135" s="95"/>
      <c r="BT135" s="95"/>
      <c r="BU135" s="95"/>
      <c r="BV135" s="95"/>
      <c r="BW135" s="95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5"/>
      <c r="CR135" s="95"/>
      <c r="CS135" s="95"/>
      <c r="CT135" s="95"/>
      <c r="CU135" s="95"/>
      <c r="CV135" s="95"/>
      <c r="CW135" s="95"/>
      <c r="CX135" s="95"/>
    </row>
    <row r="136" spans="1:102" s="2" customFormat="1" x14ac:dyDescent="0.3">
      <c r="A136" s="95"/>
      <c r="B136" s="101"/>
      <c r="C136" s="111"/>
      <c r="D136" s="95"/>
      <c r="E136" s="111"/>
      <c r="F136" s="111"/>
      <c r="G136" s="111"/>
      <c r="H136" s="111"/>
      <c r="I136" s="111"/>
      <c r="J136" s="111"/>
      <c r="K136" s="111"/>
      <c r="L136" s="111"/>
      <c r="M136" s="111"/>
      <c r="N136" s="95"/>
      <c r="O136" s="95"/>
      <c r="P136" s="95"/>
      <c r="Q136" s="95"/>
      <c r="R136" s="95"/>
      <c r="S136" s="95"/>
      <c r="T136" s="95"/>
      <c r="U136" s="95"/>
      <c r="V136" s="107"/>
      <c r="W136" s="95"/>
      <c r="X136" s="95"/>
      <c r="Y136" s="107"/>
      <c r="Z136" s="107"/>
      <c r="AA136" s="95"/>
      <c r="AB136" s="95"/>
      <c r="AC136" s="107"/>
      <c r="AD136" s="95"/>
      <c r="AE136" s="95"/>
      <c r="AF136" s="95"/>
      <c r="AG136" s="95"/>
      <c r="AH136" s="23"/>
      <c r="AI136" s="23"/>
      <c r="AJ136" s="225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4"/>
      <c r="AX136" s="23"/>
      <c r="AY136" s="23"/>
      <c r="AZ136" s="132"/>
      <c r="BA136" s="35"/>
      <c r="BB136" s="23"/>
      <c r="BC136" s="23"/>
      <c r="BD136" s="35"/>
      <c r="BE136" s="132"/>
      <c r="BF136" s="35"/>
      <c r="BG136" s="23"/>
      <c r="BH136" s="23"/>
      <c r="BI136" s="35"/>
      <c r="BJ136" s="23"/>
      <c r="BK136" s="28"/>
      <c r="BL136" s="28"/>
      <c r="BM136" s="28"/>
      <c r="BN136" s="23"/>
      <c r="BO136" s="28"/>
      <c r="BP136" s="28"/>
      <c r="BQ136" s="28"/>
      <c r="BR136" s="95"/>
      <c r="BS136" s="95"/>
      <c r="BT136" s="95"/>
      <c r="BU136" s="95"/>
      <c r="BV136" s="95"/>
      <c r="BW136" s="95"/>
      <c r="BX136" s="95"/>
      <c r="BY136" s="95"/>
      <c r="BZ136" s="95"/>
      <c r="CA136" s="95"/>
      <c r="CB136" s="95"/>
      <c r="CC136" s="95"/>
      <c r="CD136" s="95"/>
      <c r="CE136" s="95"/>
      <c r="CF136" s="95"/>
      <c r="CG136" s="95"/>
      <c r="CH136" s="95"/>
      <c r="CI136" s="95"/>
      <c r="CJ136" s="95"/>
      <c r="CK136" s="95"/>
      <c r="CL136" s="95"/>
      <c r="CM136" s="95"/>
      <c r="CN136" s="95"/>
      <c r="CO136" s="95"/>
      <c r="CP136" s="95"/>
      <c r="CQ136" s="95"/>
      <c r="CR136" s="95"/>
      <c r="CS136" s="95"/>
      <c r="CT136" s="95"/>
      <c r="CU136" s="95"/>
      <c r="CV136" s="95"/>
      <c r="CW136" s="95"/>
      <c r="CX136" s="95"/>
    </row>
    <row r="137" spans="1:102" s="2" customFormat="1" x14ac:dyDescent="0.3">
      <c r="A137" s="95"/>
      <c r="B137" s="101"/>
      <c r="C137" s="111"/>
      <c r="D137" s="95"/>
      <c r="E137" s="111"/>
      <c r="F137" s="111"/>
      <c r="G137" s="111"/>
      <c r="H137" s="111"/>
      <c r="I137" s="111"/>
      <c r="J137" s="111"/>
      <c r="K137" s="111"/>
      <c r="L137" s="111"/>
      <c r="M137" s="111"/>
      <c r="N137" s="95"/>
      <c r="O137" s="95"/>
      <c r="P137" s="95"/>
      <c r="Q137" s="95"/>
      <c r="R137" s="95"/>
      <c r="S137" s="95"/>
      <c r="T137" s="95"/>
      <c r="U137" s="95"/>
      <c r="V137" s="107"/>
      <c r="W137" s="95"/>
      <c r="X137" s="95"/>
      <c r="Y137" s="107"/>
      <c r="Z137" s="107"/>
      <c r="AA137" s="95"/>
      <c r="AB137" s="95"/>
      <c r="AC137" s="107"/>
      <c r="AD137" s="95"/>
      <c r="AE137" s="95"/>
      <c r="AF137" s="95"/>
      <c r="AG137" s="95"/>
      <c r="AH137" s="23"/>
      <c r="AI137" s="23"/>
      <c r="AJ137" s="225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4"/>
      <c r="AX137" s="23"/>
      <c r="AY137" s="23"/>
      <c r="AZ137" s="132"/>
      <c r="BA137" s="35"/>
      <c r="BB137" s="23"/>
      <c r="BC137" s="23"/>
      <c r="BD137" s="35"/>
      <c r="BE137" s="132"/>
      <c r="BF137" s="35"/>
      <c r="BG137" s="23"/>
      <c r="BH137" s="23"/>
      <c r="BI137" s="35"/>
      <c r="BJ137" s="23"/>
      <c r="BK137" s="28"/>
      <c r="BL137" s="28"/>
      <c r="BM137" s="28"/>
      <c r="BN137" s="23"/>
      <c r="BO137" s="28"/>
      <c r="BP137" s="28"/>
      <c r="BQ137" s="28"/>
      <c r="BR137" s="95"/>
      <c r="BS137" s="95"/>
      <c r="BT137" s="95"/>
      <c r="BU137" s="95"/>
      <c r="BV137" s="95"/>
      <c r="BW137" s="95"/>
      <c r="BX137" s="95"/>
      <c r="BY137" s="95"/>
      <c r="BZ137" s="95"/>
      <c r="CA137" s="95"/>
      <c r="CB137" s="95"/>
      <c r="CC137" s="95"/>
      <c r="CD137" s="95"/>
      <c r="CE137" s="95"/>
      <c r="CF137" s="95"/>
      <c r="CG137" s="95"/>
      <c r="CH137" s="95"/>
      <c r="CI137" s="95"/>
      <c r="CJ137" s="95"/>
      <c r="CK137" s="95"/>
      <c r="CL137" s="95"/>
      <c r="CM137" s="95"/>
      <c r="CN137" s="95"/>
      <c r="CO137" s="95"/>
      <c r="CP137" s="95"/>
      <c r="CQ137" s="95"/>
      <c r="CR137" s="95"/>
      <c r="CS137" s="95"/>
      <c r="CT137" s="95"/>
      <c r="CU137" s="95"/>
      <c r="CV137" s="95"/>
      <c r="CW137" s="95"/>
      <c r="CX137" s="95"/>
    </row>
    <row r="138" spans="1:102" s="2" customFormat="1" x14ac:dyDescent="0.3">
      <c r="A138" s="95"/>
      <c r="B138" s="101"/>
      <c r="C138" s="111"/>
      <c r="D138" s="95"/>
      <c r="E138" s="111"/>
      <c r="F138" s="111"/>
      <c r="G138" s="111"/>
      <c r="H138" s="111"/>
      <c r="I138" s="111"/>
      <c r="J138" s="111"/>
      <c r="K138" s="111"/>
      <c r="L138" s="111"/>
      <c r="M138" s="111"/>
      <c r="N138" s="95"/>
      <c r="O138" s="95"/>
      <c r="P138" s="95"/>
      <c r="Q138" s="95"/>
      <c r="R138" s="95"/>
      <c r="S138" s="95"/>
      <c r="T138" s="95"/>
      <c r="U138" s="95"/>
      <c r="V138" s="107"/>
      <c r="W138" s="108"/>
      <c r="X138" s="108"/>
      <c r="Y138" s="107"/>
      <c r="Z138" s="107"/>
      <c r="AA138" s="108"/>
      <c r="AB138" s="108"/>
      <c r="AC138" s="107"/>
      <c r="AD138" s="108"/>
      <c r="AE138" s="108"/>
      <c r="AF138" s="108"/>
      <c r="AG138" s="108"/>
      <c r="AH138" s="23"/>
      <c r="AI138" s="23"/>
      <c r="AJ138" s="225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4"/>
      <c r="AX138" s="23"/>
      <c r="AY138" s="23"/>
      <c r="AZ138" s="132"/>
      <c r="BA138" s="35"/>
      <c r="BB138" s="23"/>
      <c r="BC138" s="23"/>
      <c r="BD138" s="35"/>
      <c r="BE138" s="132"/>
      <c r="BF138" s="35"/>
      <c r="BG138" s="23"/>
      <c r="BH138" s="23"/>
      <c r="BI138" s="35"/>
      <c r="BJ138" s="23"/>
      <c r="BK138" s="28"/>
      <c r="BL138" s="28"/>
      <c r="BM138" s="28"/>
      <c r="BN138" s="23"/>
      <c r="BO138" s="28"/>
      <c r="BP138" s="28"/>
      <c r="BQ138" s="28"/>
      <c r="BR138" s="95"/>
      <c r="BS138" s="95"/>
      <c r="BT138" s="95"/>
      <c r="BU138" s="95"/>
      <c r="BV138" s="95"/>
      <c r="BW138" s="95"/>
      <c r="BX138" s="95"/>
      <c r="BY138" s="95"/>
      <c r="BZ138" s="95"/>
      <c r="CA138" s="95"/>
      <c r="CB138" s="95"/>
      <c r="CC138" s="95"/>
      <c r="CD138" s="95"/>
      <c r="CE138" s="95"/>
      <c r="CF138" s="95"/>
      <c r="CG138" s="95"/>
      <c r="CH138" s="95"/>
      <c r="CI138" s="95"/>
      <c r="CJ138" s="95"/>
      <c r="CK138" s="95"/>
      <c r="CL138" s="95"/>
      <c r="CM138" s="95"/>
      <c r="CN138" s="95"/>
      <c r="CO138" s="95"/>
      <c r="CP138" s="95"/>
      <c r="CQ138" s="95"/>
      <c r="CR138" s="95"/>
      <c r="CS138" s="95"/>
      <c r="CT138" s="95"/>
      <c r="CU138" s="95"/>
      <c r="CV138" s="95"/>
      <c r="CW138" s="95"/>
      <c r="CX138" s="95"/>
    </row>
    <row r="139" spans="1:102" s="2" customFormat="1" x14ac:dyDescent="0.3">
      <c r="A139" s="95"/>
      <c r="B139" s="101"/>
      <c r="C139" s="111"/>
      <c r="D139" s="95"/>
      <c r="E139" s="111"/>
      <c r="F139" s="111"/>
      <c r="G139" s="111"/>
      <c r="H139" s="111"/>
      <c r="I139" s="111"/>
      <c r="J139" s="111"/>
      <c r="K139" s="111"/>
      <c r="L139" s="111"/>
      <c r="M139" s="111"/>
      <c r="N139" s="95"/>
      <c r="O139" s="95"/>
      <c r="P139" s="95"/>
      <c r="Q139" s="95"/>
      <c r="R139" s="95"/>
      <c r="S139" s="95"/>
      <c r="T139" s="95"/>
      <c r="U139" s="95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23"/>
      <c r="AI139" s="23"/>
      <c r="AJ139" s="225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4"/>
      <c r="AX139" s="23"/>
      <c r="AY139" s="23"/>
      <c r="AZ139" s="132"/>
      <c r="BA139" s="35"/>
      <c r="BB139" s="23"/>
      <c r="BC139" s="23"/>
      <c r="BD139" s="35"/>
      <c r="BE139" s="132"/>
      <c r="BF139" s="35"/>
      <c r="BG139" s="23"/>
      <c r="BH139" s="23"/>
      <c r="BI139" s="35"/>
      <c r="BJ139" s="23"/>
      <c r="BK139" s="28"/>
      <c r="BL139" s="28"/>
      <c r="BM139" s="28"/>
      <c r="BN139" s="23"/>
      <c r="BO139" s="28"/>
      <c r="BP139" s="28"/>
      <c r="BQ139" s="28"/>
      <c r="BR139" s="95"/>
      <c r="BS139" s="95"/>
      <c r="BT139" s="95"/>
      <c r="BU139" s="95"/>
      <c r="BV139" s="95"/>
      <c r="BW139" s="95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95"/>
      <c r="CM139" s="95"/>
      <c r="CN139" s="95"/>
      <c r="CO139" s="95"/>
      <c r="CP139" s="95"/>
      <c r="CQ139" s="95"/>
      <c r="CR139" s="95"/>
      <c r="CS139" s="95"/>
      <c r="CT139" s="95"/>
      <c r="CU139" s="95"/>
      <c r="CV139" s="95"/>
      <c r="CW139" s="95"/>
      <c r="CX139" s="95"/>
    </row>
    <row r="140" spans="1:102" s="2" customFormat="1" x14ac:dyDescent="0.3">
      <c r="A140" s="95"/>
      <c r="B140" s="101"/>
      <c r="C140" s="111"/>
      <c r="D140" s="95"/>
      <c r="E140" s="111"/>
      <c r="F140" s="111"/>
      <c r="G140" s="111"/>
      <c r="H140" s="111"/>
      <c r="I140" s="111"/>
      <c r="J140" s="111"/>
      <c r="K140" s="111"/>
      <c r="L140" s="111"/>
      <c r="M140" s="111"/>
      <c r="N140" s="95"/>
      <c r="O140" s="95"/>
      <c r="P140" s="95"/>
      <c r="Q140" s="95"/>
      <c r="R140" s="95"/>
      <c r="S140" s="95"/>
      <c r="T140" s="95"/>
      <c r="U140" s="95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23"/>
      <c r="AI140" s="23"/>
      <c r="AJ140" s="225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4"/>
      <c r="AX140" s="23"/>
      <c r="AY140" s="23"/>
      <c r="AZ140" s="132"/>
      <c r="BA140" s="35"/>
      <c r="BB140" s="23"/>
      <c r="BC140" s="23"/>
      <c r="BD140" s="35"/>
      <c r="BE140" s="132"/>
      <c r="BF140" s="35"/>
      <c r="BG140" s="23"/>
      <c r="BH140" s="23"/>
      <c r="BI140" s="35"/>
      <c r="BJ140" s="23"/>
      <c r="BK140" s="28"/>
      <c r="BL140" s="28"/>
      <c r="BM140" s="28"/>
      <c r="BN140" s="23"/>
      <c r="BO140" s="28"/>
      <c r="BP140" s="28"/>
      <c r="BQ140" s="28"/>
      <c r="BR140" s="95"/>
      <c r="BS140" s="95"/>
      <c r="BT140" s="95"/>
      <c r="BU140" s="95"/>
      <c r="BV140" s="95"/>
      <c r="BW140" s="95"/>
      <c r="BX140" s="95"/>
      <c r="BY140" s="95"/>
      <c r="BZ140" s="95"/>
      <c r="CA140" s="95"/>
      <c r="CB140" s="95"/>
      <c r="CC140" s="95"/>
      <c r="CD140" s="95"/>
      <c r="CE140" s="95"/>
      <c r="CF140" s="95"/>
      <c r="CG140" s="95"/>
      <c r="CH140" s="95"/>
      <c r="CI140" s="95"/>
      <c r="CJ140" s="95"/>
      <c r="CK140" s="95"/>
      <c r="CL140" s="95"/>
      <c r="CM140" s="95"/>
      <c r="CN140" s="95"/>
      <c r="CO140" s="95"/>
      <c r="CP140" s="95"/>
      <c r="CQ140" s="95"/>
      <c r="CR140" s="95"/>
      <c r="CS140" s="95"/>
      <c r="CT140" s="95"/>
      <c r="CU140" s="95"/>
      <c r="CV140" s="95"/>
      <c r="CW140" s="95"/>
      <c r="CX140" s="95"/>
    </row>
    <row r="141" spans="1:102" s="2" customFormat="1" x14ac:dyDescent="0.3">
      <c r="A141" s="95"/>
      <c r="B141" s="101"/>
      <c r="C141" s="111"/>
      <c r="D141" s="95"/>
      <c r="E141" s="111"/>
      <c r="F141" s="111"/>
      <c r="G141" s="111"/>
      <c r="H141" s="111"/>
      <c r="I141" s="111"/>
      <c r="J141" s="111"/>
      <c r="K141" s="111"/>
      <c r="L141" s="111"/>
      <c r="M141" s="111"/>
      <c r="N141" s="95"/>
      <c r="O141" s="95"/>
      <c r="P141" s="95"/>
      <c r="Q141" s="95"/>
      <c r="R141" s="95"/>
      <c r="S141" s="95"/>
      <c r="T141" s="95"/>
      <c r="U141" s="95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23"/>
      <c r="AI141" s="23"/>
      <c r="AJ141" s="225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4"/>
      <c r="AX141" s="23"/>
      <c r="AY141" s="23"/>
      <c r="AZ141" s="132"/>
      <c r="BA141" s="35"/>
      <c r="BB141" s="23"/>
      <c r="BC141" s="23"/>
      <c r="BD141" s="35"/>
      <c r="BE141" s="132"/>
      <c r="BF141" s="35"/>
      <c r="BG141" s="23"/>
      <c r="BH141" s="23"/>
      <c r="BI141" s="35"/>
      <c r="BJ141" s="23"/>
      <c r="BK141" s="28"/>
      <c r="BL141" s="28"/>
      <c r="BM141" s="28"/>
      <c r="BN141" s="23"/>
      <c r="BO141" s="28"/>
      <c r="BP141" s="28"/>
      <c r="BQ141" s="28"/>
      <c r="BR141" s="95"/>
      <c r="BS141" s="95"/>
      <c r="BT141" s="95"/>
      <c r="BU141" s="95"/>
      <c r="BV141" s="95"/>
      <c r="BW141" s="95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95"/>
      <c r="CM141" s="95"/>
      <c r="CN141" s="95"/>
      <c r="CO141" s="95"/>
      <c r="CP141" s="95"/>
      <c r="CQ141" s="95"/>
      <c r="CR141" s="95"/>
      <c r="CS141" s="95"/>
      <c r="CT141" s="95"/>
      <c r="CU141" s="95"/>
      <c r="CV141" s="95"/>
      <c r="CW141" s="95"/>
      <c r="CX141" s="95"/>
    </row>
    <row r="142" spans="1:102" s="2" customFormat="1" x14ac:dyDescent="0.3">
      <c r="A142" s="95"/>
      <c r="B142" s="101"/>
      <c r="C142" s="111"/>
      <c r="D142" s="95"/>
      <c r="E142" s="111"/>
      <c r="F142" s="111"/>
      <c r="G142" s="111"/>
      <c r="H142" s="111"/>
      <c r="I142" s="111"/>
      <c r="J142" s="111"/>
      <c r="K142" s="111"/>
      <c r="L142" s="111"/>
      <c r="M142" s="111"/>
      <c r="N142" s="95"/>
      <c r="O142" s="95"/>
      <c r="P142" s="95"/>
      <c r="Q142" s="95"/>
      <c r="R142" s="95"/>
      <c r="S142" s="95"/>
      <c r="T142" s="95"/>
      <c r="U142" s="95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23"/>
      <c r="AI142" s="23"/>
      <c r="AJ142" s="225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4"/>
      <c r="AX142" s="23"/>
      <c r="AY142" s="23"/>
      <c r="AZ142" s="132"/>
      <c r="BA142" s="35"/>
      <c r="BB142" s="23"/>
      <c r="BC142" s="23"/>
      <c r="BD142" s="35"/>
      <c r="BE142" s="132"/>
      <c r="BF142" s="35"/>
      <c r="BG142" s="23"/>
      <c r="BH142" s="23"/>
      <c r="BI142" s="35"/>
      <c r="BJ142" s="23"/>
      <c r="BK142" s="28"/>
      <c r="BL142" s="28"/>
      <c r="BM142" s="28"/>
      <c r="BN142" s="23"/>
      <c r="BO142" s="28"/>
      <c r="BP142" s="28"/>
      <c r="BQ142" s="28"/>
      <c r="BR142" s="95"/>
      <c r="BS142" s="95"/>
      <c r="BT142" s="95"/>
      <c r="BU142" s="95"/>
      <c r="BV142" s="95"/>
      <c r="BW142" s="95"/>
      <c r="BX142" s="95"/>
      <c r="BY142" s="95"/>
      <c r="BZ142" s="95"/>
      <c r="CA142" s="95"/>
      <c r="CB142" s="95"/>
      <c r="CC142" s="95"/>
      <c r="CD142" s="95"/>
      <c r="CE142" s="95"/>
      <c r="CF142" s="95"/>
      <c r="CG142" s="95"/>
      <c r="CH142" s="95"/>
      <c r="CI142" s="95"/>
      <c r="CJ142" s="95"/>
      <c r="CK142" s="95"/>
      <c r="CL142" s="95"/>
      <c r="CM142" s="95"/>
      <c r="CN142" s="95"/>
      <c r="CO142" s="95"/>
      <c r="CP142" s="95"/>
      <c r="CQ142" s="95"/>
      <c r="CR142" s="95"/>
      <c r="CS142" s="95"/>
      <c r="CT142" s="95"/>
      <c r="CU142" s="95"/>
      <c r="CV142" s="95"/>
      <c r="CW142" s="95"/>
      <c r="CX142" s="95"/>
    </row>
    <row r="143" spans="1:102" s="2" customFormat="1" x14ac:dyDescent="0.3">
      <c r="A143" s="95"/>
      <c r="B143" s="101"/>
      <c r="C143" s="111"/>
      <c r="D143" s="95"/>
      <c r="E143" s="111"/>
      <c r="F143" s="111"/>
      <c r="G143" s="111"/>
      <c r="H143" s="111"/>
      <c r="I143" s="111"/>
      <c r="J143" s="111"/>
      <c r="K143" s="111"/>
      <c r="L143" s="111"/>
      <c r="M143" s="111"/>
      <c r="N143" s="95"/>
      <c r="O143" s="95"/>
      <c r="P143" s="95"/>
      <c r="Q143" s="95"/>
      <c r="R143" s="95"/>
      <c r="S143" s="95"/>
      <c r="T143" s="95"/>
      <c r="U143" s="95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23"/>
      <c r="AI143" s="23"/>
      <c r="AJ143" s="225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4"/>
      <c r="AX143" s="23"/>
      <c r="AY143" s="23"/>
      <c r="AZ143" s="132"/>
      <c r="BA143" s="35"/>
      <c r="BB143" s="23"/>
      <c r="BC143" s="23"/>
      <c r="BD143" s="35"/>
      <c r="BE143" s="132"/>
      <c r="BF143" s="35"/>
      <c r="BG143" s="23"/>
      <c r="BH143" s="23"/>
      <c r="BI143" s="35"/>
      <c r="BJ143" s="23"/>
      <c r="BK143" s="28"/>
      <c r="BL143" s="28"/>
      <c r="BM143" s="28"/>
      <c r="BN143" s="23"/>
      <c r="BO143" s="28"/>
      <c r="BP143" s="28"/>
      <c r="BQ143" s="28"/>
      <c r="BR143" s="95"/>
      <c r="BS143" s="95"/>
      <c r="BT143" s="95"/>
      <c r="BU143" s="95"/>
      <c r="BV143" s="95"/>
      <c r="BW143" s="95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95"/>
      <c r="CM143" s="95"/>
      <c r="CN143" s="95"/>
      <c r="CO143" s="95"/>
      <c r="CP143" s="95"/>
      <c r="CQ143" s="95"/>
      <c r="CR143" s="95"/>
      <c r="CS143" s="95"/>
      <c r="CT143" s="95"/>
      <c r="CU143" s="95"/>
      <c r="CV143" s="95"/>
      <c r="CW143" s="95"/>
      <c r="CX143" s="95"/>
    </row>
    <row r="144" spans="1:102" s="2" customFormat="1" x14ac:dyDescent="0.3">
      <c r="A144" s="95"/>
      <c r="B144" s="101"/>
      <c r="C144" s="111"/>
      <c r="D144" s="95"/>
      <c r="E144" s="111"/>
      <c r="F144" s="111"/>
      <c r="G144" s="111"/>
      <c r="H144" s="111"/>
      <c r="I144" s="111"/>
      <c r="J144" s="111"/>
      <c r="K144" s="111"/>
      <c r="L144" s="111"/>
      <c r="M144" s="111"/>
      <c r="N144" s="95"/>
      <c r="O144" s="95"/>
      <c r="P144" s="95"/>
      <c r="Q144" s="95"/>
      <c r="R144" s="95"/>
      <c r="S144" s="95"/>
      <c r="T144" s="95"/>
      <c r="U144" s="95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23"/>
      <c r="AI144" s="23"/>
      <c r="AJ144" s="225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4"/>
      <c r="AX144" s="23"/>
      <c r="AY144" s="23"/>
      <c r="AZ144" s="132"/>
      <c r="BA144" s="35"/>
      <c r="BB144" s="23"/>
      <c r="BC144" s="23"/>
      <c r="BD144" s="35"/>
      <c r="BE144" s="132"/>
      <c r="BF144" s="35"/>
      <c r="BG144" s="23"/>
      <c r="BH144" s="23"/>
      <c r="BI144" s="35"/>
      <c r="BJ144" s="23"/>
      <c r="BK144" s="28"/>
      <c r="BL144" s="28"/>
      <c r="BM144" s="28"/>
      <c r="BN144" s="23"/>
      <c r="BO144" s="28"/>
      <c r="BP144" s="28"/>
      <c r="BQ144" s="28"/>
      <c r="BR144" s="95"/>
      <c r="BS144" s="95"/>
      <c r="BT144" s="95"/>
      <c r="BU144" s="95"/>
      <c r="BV144" s="95"/>
      <c r="BW144" s="95"/>
      <c r="BX144" s="95"/>
      <c r="BY144" s="95"/>
      <c r="BZ144" s="95"/>
      <c r="CA144" s="95"/>
      <c r="CB144" s="95"/>
      <c r="CC144" s="95"/>
      <c r="CD144" s="95"/>
      <c r="CE144" s="95"/>
      <c r="CF144" s="95"/>
      <c r="CG144" s="95"/>
      <c r="CH144" s="95"/>
      <c r="CI144" s="95"/>
      <c r="CJ144" s="95"/>
      <c r="CK144" s="95"/>
      <c r="CL144" s="95"/>
      <c r="CM144" s="95"/>
      <c r="CN144" s="95"/>
      <c r="CO144" s="95"/>
      <c r="CP144" s="95"/>
      <c r="CQ144" s="95"/>
      <c r="CR144" s="95"/>
      <c r="CS144" s="95"/>
      <c r="CT144" s="95"/>
      <c r="CU144" s="95"/>
      <c r="CV144" s="95"/>
      <c r="CW144" s="95"/>
      <c r="CX144" s="95"/>
    </row>
    <row r="145" spans="1:102" s="2" customFormat="1" x14ac:dyDescent="0.3">
      <c r="A145" s="95"/>
      <c r="B145" s="101"/>
      <c r="C145" s="111"/>
      <c r="D145" s="95"/>
      <c r="E145" s="111"/>
      <c r="F145" s="111"/>
      <c r="G145" s="111"/>
      <c r="H145" s="111"/>
      <c r="I145" s="111"/>
      <c r="J145" s="111"/>
      <c r="K145" s="111"/>
      <c r="L145" s="111"/>
      <c r="M145" s="111"/>
      <c r="N145" s="95"/>
      <c r="O145" s="95"/>
      <c r="P145" s="95"/>
      <c r="Q145" s="95"/>
      <c r="R145" s="95"/>
      <c r="S145" s="95"/>
      <c r="T145" s="95"/>
      <c r="U145" s="95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23"/>
      <c r="AI145" s="23"/>
      <c r="AJ145" s="225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4"/>
      <c r="AX145" s="23"/>
      <c r="AY145" s="23"/>
      <c r="AZ145" s="132"/>
      <c r="BA145" s="35"/>
      <c r="BB145" s="23"/>
      <c r="BC145" s="23"/>
      <c r="BD145" s="35"/>
      <c r="BE145" s="132"/>
      <c r="BF145" s="35"/>
      <c r="BG145" s="23"/>
      <c r="BH145" s="23"/>
      <c r="BI145" s="35"/>
      <c r="BJ145" s="23"/>
      <c r="BK145" s="28"/>
      <c r="BL145" s="28"/>
      <c r="BM145" s="28"/>
      <c r="BN145" s="23"/>
      <c r="BO145" s="28"/>
      <c r="BP145" s="28"/>
      <c r="BQ145" s="28"/>
      <c r="BR145" s="95"/>
      <c r="BS145" s="95"/>
      <c r="BT145" s="95"/>
      <c r="BU145" s="95"/>
      <c r="BV145" s="95"/>
      <c r="BW145" s="95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95"/>
      <c r="CM145" s="95"/>
      <c r="CN145" s="95"/>
      <c r="CO145" s="95"/>
      <c r="CP145" s="95"/>
      <c r="CQ145" s="95"/>
      <c r="CR145" s="95"/>
      <c r="CS145" s="95"/>
      <c r="CT145" s="95"/>
      <c r="CU145" s="95"/>
      <c r="CV145" s="95"/>
      <c r="CW145" s="95"/>
      <c r="CX145" s="95"/>
    </row>
    <row r="146" spans="1:102" s="2" customFormat="1" x14ac:dyDescent="0.3">
      <c r="A146" s="95"/>
      <c r="B146" s="101"/>
      <c r="C146" s="111"/>
      <c r="D146" s="95"/>
      <c r="E146" s="111"/>
      <c r="F146" s="111"/>
      <c r="G146" s="111"/>
      <c r="H146" s="111"/>
      <c r="I146" s="111"/>
      <c r="J146" s="111"/>
      <c r="K146" s="111"/>
      <c r="L146" s="111"/>
      <c r="M146" s="111"/>
      <c r="N146" s="95"/>
      <c r="O146" s="95"/>
      <c r="P146" s="95"/>
      <c r="Q146" s="95"/>
      <c r="R146" s="95"/>
      <c r="S146" s="95"/>
      <c r="T146" s="95"/>
      <c r="U146" s="95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23"/>
      <c r="AI146" s="23"/>
      <c r="AJ146" s="225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4"/>
      <c r="AX146" s="23"/>
      <c r="AY146" s="23"/>
      <c r="AZ146" s="132"/>
      <c r="BA146" s="35"/>
      <c r="BB146" s="23"/>
      <c r="BC146" s="23"/>
      <c r="BD146" s="35"/>
      <c r="BE146" s="132"/>
      <c r="BF146" s="35"/>
      <c r="BG146" s="23"/>
      <c r="BH146" s="23"/>
      <c r="BI146" s="35"/>
      <c r="BJ146" s="23"/>
      <c r="BK146" s="28"/>
      <c r="BL146" s="28"/>
      <c r="BM146" s="28"/>
      <c r="BN146" s="23"/>
      <c r="BO146" s="28"/>
      <c r="BP146" s="28"/>
      <c r="BQ146" s="28"/>
      <c r="BR146" s="95"/>
      <c r="BS146" s="95"/>
      <c r="BT146" s="95"/>
      <c r="BU146" s="95"/>
      <c r="BV146" s="95"/>
      <c r="BW146" s="95"/>
      <c r="BX146" s="95"/>
      <c r="BY146" s="95"/>
      <c r="BZ146" s="95"/>
      <c r="CA146" s="95"/>
      <c r="CB146" s="95"/>
      <c r="CC146" s="95"/>
      <c r="CD146" s="95"/>
      <c r="CE146" s="95"/>
      <c r="CF146" s="95"/>
      <c r="CG146" s="95"/>
      <c r="CH146" s="95"/>
      <c r="CI146" s="95"/>
      <c r="CJ146" s="95"/>
      <c r="CK146" s="95"/>
      <c r="CL146" s="95"/>
      <c r="CM146" s="95"/>
      <c r="CN146" s="95"/>
      <c r="CO146" s="95"/>
      <c r="CP146" s="95"/>
      <c r="CQ146" s="95"/>
      <c r="CR146" s="95"/>
      <c r="CS146" s="95"/>
      <c r="CT146" s="95"/>
      <c r="CU146" s="95"/>
      <c r="CV146" s="95"/>
      <c r="CW146" s="95"/>
      <c r="CX146" s="95"/>
    </row>
    <row r="147" spans="1:102" s="2" customFormat="1" x14ac:dyDescent="0.3">
      <c r="A147" s="95"/>
      <c r="B147" s="101"/>
      <c r="C147" s="111"/>
      <c r="D147" s="95"/>
      <c r="E147" s="111"/>
      <c r="F147" s="111"/>
      <c r="G147" s="111"/>
      <c r="H147" s="111"/>
      <c r="I147" s="111"/>
      <c r="J147" s="111"/>
      <c r="K147" s="111"/>
      <c r="L147" s="111"/>
      <c r="M147" s="111"/>
      <c r="N147" s="95"/>
      <c r="O147" s="95"/>
      <c r="P147" s="95"/>
      <c r="Q147" s="95"/>
      <c r="R147" s="95"/>
      <c r="S147" s="95"/>
      <c r="T147" s="95"/>
      <c r="U147" s="95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23"/>
      <c r="AI147" s="23"/>
      <c r="AJ147" s="225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4"/>
      <c r="AX147" s="23"/>
      <c r="AY147" s="23"/>
      <c r="AZ147" s="132"/>
      <c r="BA147" s="35"/>
      <c r="BB147" s="23"/>
      <c r="BC147" s="23"/>
      <c r="BD147" s="35"/>
      <c r="BE147" s="132"/>
      <c r="BF147" s="35"/>
      <c r="BG147" s="23"/>
      <c r="BH147" s="23"/>
      <c r="BI147" s="35"/>
      <c r="BJ147" s="23"/>
      <c r="BK147" s="28"/>
      <c r="BL147" s="28"/>
      <c r="BM147" s="28"/>
      <c r="BN147" s="23"/>
      <c r="BO147" s="28"/>
      <c r="BP147" s="28"/>
      <c r="BQ147" s="28"/>
      <c r="BR147" s="95"/>
      <c r="BS147" s="95"/>
      <c r="BT147" s="95"/>
      <c r="BU147" s="95"/>
      <c r="BV147" s="95"/>
      <c r="BW147" s="95"/>
      <c r="BX147" s="95"/>
      <c r="BY147" s="95"/>
      <c r="BZ147" s="95"/>
      <c r="CA147" s="95"/>
      <c r="CB147" s="95"/>
      <c r="CC147" s="95"/>
      <c r="CD147" s="95"/>
      <c r="CE147" s="95"/>
      <c r="CF147" s="95"/>
      <c r="CG147" s="95"/>
      <c r="CH147" s="95"/>
      <c r="CI147" s="95"/>
      <c r="CJ147" s="95"/>
      <c r="CK147" s="95"/>
      <c r="CL147" s="95"/>
      <c r="CM147" s="95"/>
      <c r="CN147" s="95"/>
      <c r="CO147" s="95"/>
      <c r="CP147" s="95"/>
      <c r="CQ147" s="95"/>
      <c r="CR147" s="95"/>
      <c r="CS147" s="95"/>
      <c r="CT147" s="95"/>
      <c r="CU147" s="95"/>
      <c r="CV147" s="95"/>
      <c r="CW147" s="95"/>
      <c r="CX147" s="95"/>
    </row>
    <row r="148" spans="1:102" s="2" customFormat="1" x14ac:dyDescent="0.3">
      <c r="A148" s="95"/>
      <c r="B148" s="101"/>
      <c r="C148" s="111"/>
      <c r="D148" s="95"/>
      <c r="E148" s="111"/>
      <c r="F148" s="111"/>
      <c r="G148" s="111"/>
      <c r="H148" s="111"/>
      <c r="I148" s="111"/>
      <c r="J148" s="111"/>
      <c r="K148" s="111"/>
      <c r="L148" s="111"/>
      <c r="M148" s="111"/>
      <c r="N148" s="95"/>
      <c r="O148" s="95"/>
      <c r="P148" s="95"/>
      <c r="Q148" s="95"/>
      <c r="R148" s="95"/>
      <c r="S148" s="95"/>
      <c r="T148" s="95"/>
      <c r="U148" s="95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23"/>
      <c r="AI148" s="23"/>
      <c r="AJ148" s="225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4"/>
      <c r="AX148" s="23"/>
      <c r="AY148" s="23"/>
      <c r="AZ148" s="132"/>
      <c r="BA148" s="35"/>
      <c r="BB148" s="23"/>
      <c r="BC148" s="23"/>
      <c r="BD148" s="35"/>
      <c r="BE148" s="132"/>
      <c r="BF148" s="35"/>
      <c r="BG148" s="23"/>
      <c r="BH148" s="23"/>
      <c r="BI148" s="35"/>
      <c r="BJ148" s="23"/>
      <c r="BK148" s="28"/>
      <c r="BL148" s="28"/>
      <c r="BM148" s="28"/>
      <c r="BN148" s="23"/>
      <c r="BO148" s="28"/>
      <c r="BP148" s="28"/>
      <c r="BQ148" s="28"/>
      <c r="BR148" s="95"/>
      <c r="BS148" s="95"/>
      <c r="BT148" s="95"/>
      <c r="BU148" s="95"/>
      <c r="BV148" s="95"/>
      <c r="BW148" s="95"/>
      <c r="BX148" s="95"/>
      <c r="BY148" s="95"/>
      <c r="BZ148" s="95"/>
      <c r="CA148" s="95"/>
      <c r="CB148" s="95"/>
      <c r="CC148" s="95"/>
      <c r="CD148" s="95"/>
      <c r="CE148" s="95"/>
      <c r="CF148" s="95"/>
      <c r="CG148" s="95"/>
      <c r="CH148" s="95"/>
      <c r="CI148" s="95"/>
      <c r="CJ148" s="95"/>
      <c r="CK148" s="95"/>
      <c r="CL148" s="95"/>
      <c r="CM148" s="95"/>
      <c r="CN148" s="95"/>
      <c r="CO148" s="95"/>
      <c r="CP148" s="95"/>
      <c r="CQ148" s="95"/>
      <c r="CR148" s="95"/>
      <c r="CS148" s="95"/>
      <c r="CT148" s="95"/>
      <c r="CU148" s="95"/>
      <c r="CV148" s="95"/>
      <c r="CW148" s="95"/>
      <c r="CX148" s="95"/>
    </row>
    <row r="149" spans="1:102" s="2" customFormat="1" x14ac:dyDescent="0.3">
      <c r="A149" s="95"/>
      <c r="B149" s="101"/>
      <c r="C149" s="111"/>
      <c r="D149" s="95"/>
      <c r="E149" s="111"/>
      <c r="F149" s="111"/>
      <c r="G149" s="111"/>
      <c r="H149" s="111"/>
      <c r="I149" s="111"/>
      <c r="J149" s="111"/>
      <c r="K149" s="111"/>
      <c r="L149" s="111"/>
      <c r="M149" s="111"/>
      <c r="N149" s="95"/>
      <c r="O149" s="95"/>
      <c r="P149" s="95"/>
      <c r="Q149" s="95"/>
      <c r="R149" s="95"/>
      <c r="S149" s="95"/>
      <c r="T149" s="95"/>
      <c r="U149" s="95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23"/>
      <c r="AI149" s="23"/>
      <c r="AJ149" s="225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4"/>
      <c r="AX149" s="23"/>
      <c r="AY149" s="23"/>
      <c r="AZ149" s="132"/>
      <c r="BA149" s="35"/>
      <c r="BB149" s="23"/>
      <c r="BC149" s="23"/>
      <c r="BD149" s="35"/>
      <c r="BE149" s="132"/>
      <c r="BF149" s="35"/>
      <c r="BG149" s="23"/>
      <c r="BH149" s="23"/>
      <c r="BI149" s="35"/>
      <c r="BJ149" s="23"/>
      <c r="BK149" s="28"/>
      <c r="BL149" s="28"/>
      <c r="BM149" s="28"/>
      <c r="BN149" s="23"/>
      <c r="BO149" s="28"/>
      <c r="BP149" s="28"/>
      <c r="BQ149" s="28"/>
      <c r="BR149" s="95"/>
      <c r="BS149" s="95"/>
      <c r="BT149" s="95"/>
      <c r="BU149" s="95"/>
      <c r="BV149" s="95"/>
      <c r="BW149" s="95"/>
      <c r="BX149" s="95"/>
      <c r="BY149" s="95"/>
      <c r="BZ149" s="95"/>
      <c r="CA149" s="95"/>
      <c r="CB149" s="95"/>
      <c r="CC149" s="95"/>
      <c r="CD149" s="95"/>
      <c r="CE149" s="95"/>
      <c r="CF149" s="95"/>
      <c r="CG149" s="95"/>
      <c r="CH149" s="95"/>
      <c r="CI149" s="95"/>
      <c r="CJ149" s="95"/>
      <c r="CK149" s="95"/>
      <c r="CL149" s="95"/>
      <c r="CM149" s="95"/>
      <c r="CN149" s="95"/>
      <c r="CO149" s="95"/>
      <c r="CP149" s="95"/>
      <c r="CQ149" s="95"/>
      <c r="CR149" s="95"/>
      <c r="CS149" s="95"/>
      <c r="CT149" s="95"/>
      <c r="CU149" s="95"/>
      <c r="CV149" s="95"/>
      <c r="CW149" s="95"/>
      <c r="CX149" s="95"/>
    </row>
    <row r="150" spans="1:102" s="2" customFormat="1" x14ac:dyDescent="0.3">
      <c r="A150" s="95"/>
      <c r="B150" s="101"/>
      <c r="C150" s="111"/>
      <c r="D150" s="95"/>
      <c r="E150" s="111"/>
      <c r="F150" s="111"/>
      <c r="G150" s="111"/>
      <c r="H150" s="111"/>
      <c r="I150" s="111"/>
      <c r="J150" s="111"/>
      <c r="K150" s="111"/>
      <c r="L150" s="111"/>
      <c r="M150" s="111"/>
      <c r="N150" s="95"/>
      <c r="O150" s="95"/>
      <c r="P150" s="95"/>
      <c r="Q150" s="95"/>
      <c r="R150" s="95"/>
      <c r="S150" s="95"/>
      <c r="T150" s="95"/>
      <c r="U150" s="95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23"/>
      <c r="AI150" s="23"/>
      <c r="AJ150" s="225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4"/>
      <c r="AX150" s="23"/>
      <c r="AY150" s="23"/>
      <c r="AZ150" s="132"/>
      <c r="BA150" s="35"/>
      <c r="BB150" s="23"/>
      <c r="BC150" s="23"/>
      <c r="BD150" s="35"/>
      <c r="BE150" s="132"/>
      <c r="BF150" s="35"/>
      <c r="BG150" s="23"/>
      <c r="BH150" s="23"/>
      <c r="BI150" s="35"/>
      <c r="BJ150" s="23"/>
      <c r="BK150" s="28"/>
      <c r="BL150" s="28"/>
      <c r="BM150" s="28"/>
      <c r="BN150" s="23"/>
      <c r="BO150" s="28"/>
      <c r="BP150" s="28"/>
      <c r="BQ150" s="28"/>
      <c r="BR150" s="95"/>
      <c r="BS150" s="95"/>
      <c r="BT150" s="95"/>
      <c r="BU150" s="95"/>
      <c r="BV150" s="95"/>
      <c r="BW150" s="95"/>
      <c r="BX150" s="95"/>
      <c r="BY150" s="95"/>
      <c r="BZ150" s="95"/>
      <c r="CA150" s="95"/>
      <c r="CB150" s="95"/>
      <c r="CC150" s="95"/>
      <c r="CD150" s="95"/>
      <c r="CE150" s="95"/>
      <c r="CF150" s="95"/>
      <c r="CG150" s="95"/>
      <c r="CH150" s="95"/>
      <c r="CI150" s="95"/>
      <c r="CJ150" s="95"/>
      <c r="CK150" s="95"/>
      <c r="CL150" s="95"/>
      <c r="CM150" s="95"/>
      <c r="CN150" s="95"/>
      <c r="CO150" s="95"/>
      <c r="CP150" s="95"/>
      <c r="CQ150" s="95"/>
      <c r="CR150" s="95"/>
      <c r="CS150" s="95"/>
      <c r="CT150" s="95"/>
      <c r="CU150" s="95"/>
      <c r="CV150" s="95"/>
      <c r="CW150" s="95"/>
      <c r="CX150" s="95"/>
    </row>
    <row r="151" spans="1:102" s="2" customFormat="1" x14ac:dyDescent="0.3">
      <c r="A151" s="95"/>
      <c r="B151" s="101"/>
      <c r="C151" s="111"/>
      <c r="D151" s="95"/>
      <c r="E151" s="111"/>
      <c r="F151" s="111"/>
      <c r="G151" s="111"/>
      <c r="H151" s="111"/>
      <c r="I151" s="111"/>
      <c r="J151" s="111"/>
      <c r="K151" s="111"/>
      <c r="L151" s="111"/>
      <c r="M151" s="111"/>
      <c r="N151" s="95"/>
      <c r="O151" s="95"/>
      <c r="P151" s="95"/>
      <c r="Q151" s="95"/>
      <c r="R151" s="95"/>
      <c r="S151" s="95"/>
      <c r="T151" s="95"/>
      <c r="U151" s="95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23"/>
      <c r="AI151" s="23"/>
      <c r="AJ151" s="225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4"/>
      <c r="AX151" s="23"/>
      <c r="AY151" s="23"/>
      <c r="AZ151" s="132"/>
      <c r="BA151" s="35"/>
      <c r="BB151" s="23"/>
      <c r="BC151" s="23"/>
      <c r="BD151" s="35"/>
      <c r="BE151" s="132"/>
      <c r="BF151" s="35"/>
      <c r="BG151" s="23"/>
      <c r="BH151" s="23"/>
      <c r="BI151" s="35"/>
      <c r="BJ151" s="23"/>
      <c r="BK151" s="28"/>
      <c r="BL151" s="28"/>
      <c r="BM151" s="28"/>
      <c r="BN151" s="23"/>
      <c r="BO151" s="28"/>
      <c r="BP151" s="28"/>
      <c r="BQ151" s="28"/>
      <c r="BR151" s="95"/>
      <c r="BS151" s="95"/>
      <c r="BT151" s="95"/>
      <c r="BU151" s="95"/>
      <c r="BV151" s="95"/>
      <c r="BW151" s="95"/>
      <c r="BX151" s="95"/>
      <c r="BY151" s="95"/>
      <c r="BZ151" s="95"/>
      <c r="CA151" s="95"/>
      <c r="CB151" s="95"/>
      <c r="CC151" s="95"/>
      <c r="CD151" s="95"/>
      <c r="CE151" s="95"/>
      <c r="CF151" s="95"/>
      <c r="CG151" s="95"/>
      <c r="CH151" s="95"/>
      <c r="CI151" s="95"/>
      <c r="CJ151" s="95"/>
      <c r="CK151" s="95"/>
      <c r="CL151" s="95"/>
      <c r="CM151" s="95"/>
      <c r="CN151" s="95"/>
      <c r="CO151" s="95"/>
      <c r="CP151" s="95"/>
      <c r="CQ151" s="95"/>
      <c r="CR151" s="95"/>
      <c r="CS151" s="95"/>
      <c r="CT151" s="95"/>
      <c r="CU151" s="95"/>
      <c r="CV151" s="95"/>
      <c r="CW151" s="95"/>
      <c r="CX151" s="95"/>
    </row>
    <row r="152" spans="1:102" s="2" customFormat="1" x14ac:dyDescent="0.3">
      <c r="A152" s="95"/>
      <c r="B152" s="101"/>
      <c r="C152" s="111"/>
      <c r="D152" s="95"/>
      <c r="E152" s="111"/>
      <c r="F152" s="111"/>
      <c r="G152" s="111"/>
      <c r="H152" s="111"/>
      <c r="I152" s="111"/>
      <c r="J152" s="111"/>
      <c r="K152" s="111"/>
      <c r="L152" s="111"/>
      <c r="M152" s="111"/>
      <c r="N152" s="95"/>
      <c r="O152" s="95"/>
      <c r="P152" s="95"/>
      <c r="Q152" s="95"/>
      <c r="R152" s="95"/>
      <c r="S152" s="95"/>
      <c r="T152" s="95"/>
      <c r="U152" s="95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23"/>
      <c r="AI152" s="23"/>
      <c r="AJ152" s="225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4"/>
      <c r="AX152" s="23"/>
      <c r="AY152" s="23"/>
      <c r="AZ152" s="132"/>
      <c r="BA152" s="35"/>
      <c r="BB152" s="23"/>
      <c r="BC152" s="23"/>
      <c r="BD152" s="35"/>
      <c r="BE152" s="132"/>
      <c r="BF152" s="35"/>
      <c r="BG152" s="23"/>
      <c r="BH152" s="23"/>
      <c r="BI152" s="35"/>
      <c r="BJ152" s="23"/>
      <c r="BK152" s="28"/>
      <c r="BL152" s="28"/>
      <c r="BM152" s="28"/>
      <c r="BN152" s="23"/>
      <c r="BO152" s="28"/>
      <c r="BP152" s="28"/>
      <c r="BQ152" s="28"/>
      <c r="BR152" s="95"/>
      <c r="BS152" s="95"/>
      <c r="BT152" s="95"/>
      <c r="BU152" s="95"/>
      <c r="BV152" s="95"/>
      <c r="BW152" s="95"/>
      <c r="BX152" s="95"/>
      <c r="BY152" s="95"/>
      <c r="BZ152" s="95"/>
      <c r="CA152" s="95"/>
      <c r="CB152" s="95"/>
      <c r="CC152" s="95"/>
      <c r="CD152" s="95"/>
      <c r="CE152" s="95"/>
      <c r="CF152" s="95"/>
      <c r="CG152" s="95"/>
      <c r="CH152" s="95"/>
      <c r="CI152" s="95"/>
      <c r="CJ152" s="95"/>
      <c r="CK152" s="95"/>
      <c r="CL152" s="95"/>
      <c r="CM152" s="95"/>
      <c r="CN152" s="95"/>
      <c r="CO152" s="95"/>
      <c r="CP152" s="95"/>
      <c r="CQ152" s="95"/>
      <c r="CR152" s="95"/>
      <c r="CS152" s="95"/>
      <c r="CT152" s="95"/>
      <c r="CU152" s="95"/>
      <c r="CV152" s="95"/>
      <c r="CW152" s="95"/>
      <c r="CX152" s="95"/>
    </row>
    <row r="153" spans="1:102" s="2" customFormat="1" x14ac:dyDescent="0.3">
      <c r="A153" s="95"/>
      <c r="B153" s="101"/>
      <c r="C153" s="111"/>
      <c r="D153" s="95"/>
      <c r="E153" s="111"/>
      <c r="F153" s="111"/>
      <c r="G153" s="111"/>
      <c r="H153" s="111"/>
      <c r="I153" s="111"/>
      <c r="J153" s="111"/>
      <c r="K153" s="111"/>
      <c r="L153" s="111"/>
      <c r="M153" s="111"/>
      <c r="N153" s="95"/>
      <c r="O153" s="95"/>
      <c r="P153" s="95"/>
      <c r="Q153" s="95"/>
      <c r="R153" s="95"/>
      <c r="S153" s="95"/>
      <c r="T153" s="95"/>
      <c r="U153" s="95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23"/>
      <c r="AI153" s="23"/>
      <c r="AJ153" s="225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4"/>
      <c r="AX153" s="23"/>
      <c r="AY153" s="23"/>
      <c r="AZ153" s="132"/>
      <c r="BA153" s="35"/>
      <c r="BB153" s="23"/>
      <c r="BC153" s="23"/>
      <c r="BD153" s="35"/>
      <c r="BE153" s="132"/>
      <c r="BF153" s="35"/>
      <c r="BG153" s="23"/>
      <c r="BH153" s="23"/>
      <c r="BI153" s="35"/>
      <c r="BJ153" s="23"/>
      <c r="BK153" s="28"/>
      <c r="BL153" s="28"/>
      <c r="BM153" s="28"/>
      <c r="BN153" s="23"/>
      <c r="BO153" s="28"/>
      <c r="BP153" s="28"/>
      <c r="BQ153" s="28"/>
      <c r="BR153" s="95"/>
      <c r="BS153" s="95"/>
      <c r="BT153" s="95"/>
      <c r="BU153" s="95"/>
      <c r="BV153" s="95"/>
      <c r="BW153" s="95"/>
      <c r="BX153" s="95"/>
      <c r="BY153" s="95"/>
      <c r="BZ153" s="95"/>
      <c r="CA153" s="95"/>
      <c r="CB153" s="95"/>
      <c r="CC153" s="95"/>
      <c r="CD153" s="95"/>
      <c r="CE153" s="95"/>
      <c r="CF153" s="95"/>
      <c r="CG153" s="95"/>
      <c r="CH153" s="95"/>
      <c r="CI153" s="95"/>
      <c r="CJ153" s="95"/>
      <c r="CK153" s="95"/>
      <c r="CL153" s="95"/>
      <c r="CM153" s="95"/>
      <c r="CN153" s="95"/>
      <c r="CO153" s="95"/>
      <c r="CP153" s="95"/>
      <c r="CQ153" s="95"/>
      <c r="CR153" s="95"/>
      <c r="CS153" s="95"/>
      <c r="CT153" s="95"/>
      <c r="CU153" s="95"/>
      <c r="CV153" s="95"/>
      <c r="CW153" s="95"/>
      <c r="CX153" s="95"/>
    </row>
    <row r="154" spans="1:102" s="2" customFormat="1" x14ac:dyDescent="0.3">
      <c r="A154" s="95"/>
      <c r="B154" s="101"/>
      <c r="C154" s="111"/>
      <c r="D154" s="95"/>
      <c r="E154" s="111"/>
      <c r="F154" s="111"/>
      <c r="G154" s="111"/>
      <c r="H154" s="111"/>
      <c r="I154" s="111"/>
      <c r="J154" s="111"/>
      <c r="K154" s="111"/>
      <c r="L154" s="111"/>
      <c r="M154" s="111"/>
      <c r="N154" s="95"/>
      <c r="O154" s="95"/>
      <c r="P154" s="95"/>
      <c r="Q154" s="95"/>
      <c r="R154" s="95"/>
      <c r="S154" s="95"/>
      <c r="T154" s="95"/>
      <c r="U154" s="95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23"/>
      <c r="AI154" s="23"/>
      <c r="AJ154" s="225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4"/>
      <c r="AX154" s="23"/>
      <c r="AY154" s="23"/>
      <c r="AZ154" s="132"/>
      <c r="BA154" s="35"/>
      <c r="BB154" s="23"/>
      <c r="BC154" s="23"/>
      <c r="BD154" s="35"/>
      <c r="BE154" s="132"/>
      <c r="BF154" s="35"/>
      <c r="BG154" s="23"/>
      <c r="BH154" s="23"/>
      <c r="BI154" s="35"/>
      <c r="BJ154" s="23"/>
      <c r="BK154" s="28"/>
      <c r="BL154" s="28"/>
      <c r="BM154" s="28"/>
      <c r="BN154" s="23"/>
      <c r="BO154" s="28"/>
      <c r="BP154" s="28"/>
      <c r="BQ154" s="28"/>
      <c r="BR154" s="95"/>
      <c r="BS154" s="95"/>
      <c r="BT154" s="95"/>
      <c r="BU154" s="95"/>
      <c r="BV154" s="95"/>
      <c r="BW154" s="95"/>
      <c r="BX154" s="95"/>
      <c r="BY154" s="95"/>
      <c r="BZ154" s="95"/>
      <c r="CA154" s="95"/>
      <c r="CB154" s="95"/>
      <c r="CC154" s="95"/>
      <c r="CD154" s="95"/>
      <c r="CE154" s="95"/>
      <c r="CF154" s="95"/>
      <c r="CG154" s="95"/>
      <c r="CH154" s="95"/>
      <c r="CI154" s="95"/>
      <c r="CJ154" s="95"/>
      <c r="CK154" s="95"/>
      <c r="CL154" s="95"/>
      <c r="CM154" s="95"/>
      <c r="CN154" s="95"/>
      <c r="CO154" s="95"/>
      <c r="CP154" s="95"/>
      <c r="CQ154" s="95"/>
      <c r="CR154" s="95"/>
      <c r="CS154" s="95"/>
      <c r="CT154" s="95"/>
      <c r="CU154" s="95"/>
      <c r="CV154" s="95"/>
      <c r="CW154" s="95"/>
      <c r="CX154" s="95"/>
    </row>
    <row r="155" spans="1:102" s="2" customFormat="1" x14ac:dyDescent="0.3">
      <c r="A155" s="95"/>
      <c r="B155" s="101"/>
      <c r="C155" s="111"/>
      <c r="D155" s="95"/>
      <c r="E155" s="111"/>
      <c r="F155" s="111"/>
      <c r="G155" s="111"/>
      <c r="H155" s="111"/>
      <c r="I155" s="111"/>
      <c r="J155" s="111"/>
      <c r="K155" s="111"/>
      <c r="L155" s="111"/>
      <c r="M155" s="111"/>
      <c r="N155" s="95"/>
      <c r="O155" s="95"/>
      <c r="P155" s="95"/>
      <c r="Q155" s="95"/>
      <c r="R155" s="95"/>
      <c r="S155" s="95"/>
      <c r="T155" s="95"/>
      <c r="U155" s="95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23"/>
      <c r="AI155" s="23"/>
      <c r="AJ155" s="225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4"/>
      <c r="AX155" s="23"/>
      <c r="AY155" s="23"/>
      <c r="AZ155" s="132"/>
      <c r="BA155" s="35"/>
      <c r="BB155" s="23"/>
      <c r="BC155" s="23"/>
      <c r="BD155" s="35"/>
      <c r="BE155" s="132"/>
      <c r="BF155" s="35"/>
      <c r="BG155" s="23"/>
      <c r="BH155" s="23"/>
      <c r="BI155" s="35"/>
      <c r="BJ155" s="23"/>
      <c r="BK155" s="28"/>
      <c r="BL155" s="28"/>
      <c r="BM155" s="28"/>
      <c r="BN155" s="23"/>
      <c r="BO155" s="28"/>
      <c r="BP155" s="28"/>
      <c r="BQ155" s="28"/>
      <c r="BR155" s="95"/>
      <c r="BS155" s="95"/>
      <c r="BT155" s="95"/>
      <c r="BU155" s="95"/>
      <c r="BV155" s="95"/>
      <c r="BW155" s="95"/>
      <c r="BX155" s="95"/>
      <c r="BY155" s="95"/>
      <c r="BZ155" s="95"/>
      <c r="CA155" s="95"/>
      <c r="CB155" s="95"/>
      <c r="CC155" s="95"/>
      <c r="CD155" s="95"/>
      <c r="CE155" s="95"/>
      <c r="CF155" s="95"/>
      <c r="CG155" s="95"/>
      <c r="CH155" s="95"/>
      <c r="CI155" s="95"/>
      <c r="CJ155" s="95"/>
      <c r="CK155" s="95"/>
      <c r="CL155" s="95"/>
      <c r="CM155" s="95"/>
      <c r="CN155" s="95"/>
      <c r="CO155" s="95"/>
      <c r="CP155" s="95"/>
      <c r="CQ155" s="95"/>
      <c r="CR155" s="95"/>
      <c r="CS155" s="95"/>
      <c r="CT155" s="95"/>
      <c r="CU155" s="95"/>
      <c r="CV155" s="95"/>
      <c r="CW155" s="95"/>
      <c r="CX155" s="95"/>
    </row>
    <row r="156" spans="1:102" s="2" customFormat="1" x14ac:dyDescent="0.3">
      <c r="A156" s="95"/>
      <c r="B156" s="101"/>
      <c r="C156" s="111"/>
      <c r="D156" s="95"/>
      <c r="E156" s="111"/>
      <c r="F156" s="111"/>
      <c r="G156" s="111"/>
      <c r="H156" s="111"/>
      <c r="I156" s="111"/>
      <c r="J156" s="111"/>
      <c r="K156" s="111"/>
      <c r="L156" s="111"/>
      <c r="M156" s="111"/>
      <c r="N156" s="95"/>
      <c r="O156" s="95"/>
      <c r="P156" s="95"/>
      <c r="Q156" s="95"/>
      <c r="R156" s="95"/>
      <c r="S156" s="95"/>
      <c r="T156" s="95"/>
      <c r="U156" s="95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23"/>
      <c r="AI156" s="23"/>
      <c r="AJ156" s="225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4"/>
      <c r="AX156" s="23"/>
      <c r="AY156" s="23"/>
      <c r="AZ156" s="132"/>
      <c r="BA156" s="35"/>
      <c r="BB156" s="23"/>
      <c r="BC156" s="23"/>
      <c r="BD156" s="35"/>
      <c r="BE156" s="132"/>
      <c r="BF156" s="35"/>
      <c r="BG156" s="23"/>
      <c r="BH156" s="23"/>
      <c r="BI156" s="35"/>
      <c r="BJ156" s="23"/>
      <c r="BK156" s="28"/>
      <c r="BL156" s="28"/>
      <c r="BM156" s="28"/>
      <c r="BN156" s="23"/>
      <c r="BO156" s="28"/>
      <c r="BP156" s="28"/>
      <c r="BQ156" s="28"/>
      <c r="BR156" s="95"/>
      <c r="BS156" s="95"/>
      <c r="BT156" s="95"/>
      <c r="BU156" s="95"/>
      <c r="BV156" s="95"/>
      <c r="BW156" s="95"/>
      <c r="BX156" s="95"/>
      <c r="BY156" s="95"/>
      <c r="BZ156" s="95"/>
      <c r="CA156" s="95"/>
      <c r="CB156" s="95"/>
      <c r="CC156" s="95"/>
      <c r="CD156" s="95"/>
      <c r="CE156" s="95"/>
      <c r="CF156" s="95"/>
      <c r="CG156" s="95"/>
      <c r="CH156" s="95"/>
      <c r="CI156" s="95"/>
      <c r="CJ156" s="95"/>
      <c r="CK156" s="95"/>
      <c r="CL156" s="95"/>
      <c r="CM156" s="95"/>
      <c r="CN156" s="95"/>
      <c r="CO156" s="95"/>
      <c r="CP156" s="95"/>
      <c r="CQ156" s="95"/>
      <c r="CR156" s="95"/>
      <c r="CS156" s="95"/>
      <c r="CT156" s="95"/>
      <c r="CU156" s="95"/>
      <c r="CV156" s="95"/>
      <c r="CW156" s="95"/>
      <c r="CX156" s="95"/>
    </row>
    <row r="157" spans="1:102" x14ac:dyDescent="0.3">
      <c r="B157" s="101"/>
      <c r="C157" s="111"/>
      <c r="D157" s="95"/>
      <c r="E157" s="111"/>
      <c r="F157" s="111"/>
      <c r="G157" s="111"/>
      <c r="H157" s="111"/>
      <c r="I157" s="111"/>
      <c r="J157" s="111"/>
      <c r="K157" s="111"/>
      <c r="L157" s="111"/>
      <c r="Z157" s="107"/>
      <c r="AA157" s="107"/>
      <c r="AB157" s="107"/>
      <c r="AC157" s="107"/>
      <c r="AD157" s="107"/>
      <c r="AE157" s="107"/>
      <c r="AF157" s="107"/>
      <c r="AG157" s="107"/>
    </row>
    <row r="158" spans="1:102" x14ac:dyDescent="0.3">
      <c r="B158" s="101"/>
      <c r="C158" s="111"/>
      <c r="D158" s="95"/>
      <c r="E158" s="111"/>
      <c r="F158" s="111"/>
      <c r="G158" s="111"/>
      <c r="H158" s="111"/>
      <c r="I158" s="111"/>
      <c r="J158" s="111"/>
      <c r="K158" s="111"/>
      <c r="L158" s="111"/>
      <c r="Z158" s="107"/>
      <c r="AA158" s="107"/>
      <c r="AB158" s="107"/>
      <c r="AC158" s="107"/>
      <c r="AD158" s="107"/>
      <c r="AE158" s="107"/>
      <c r="AF158" s="107"/>
      <c r="AG158" s="107"/>
    </row>
    <row r="159" spans="1:102" x14ac:dyDescent="0.3">
      <c r="B159" s="101"/>
      <c r="C159" s="111"/>
      <c r="D159" s="95"/>
      <c r="E159" s="111"/>
      <c r="F159" s="111"/>
      <c r="G159" s="111"/>
      <c r="H159" s="111"/>
      <c r="I159" s="111"/>
      <c r="J159" s="111"/>
      <c r="K159" s="111"/>
      <c r="L159" s="111"/>
      <c r="Z159" s="107"/>
      <c r="AA159" s="107"/>
      <c r="AB159" s="107"/>
      <c r="AC159" s="107"/>
      <c r="AD159" s="107"/>
      <c r="AE159" s="107"/>
      <c r="AF159" s="107"/>
      <c r="AG159" s="107"/>
    </row>
    <row r="160" spans="1:102" x14ac:dyDescent="0.3">
      <c r="B160" s="101"/>
      <c r="C160" s="111"/>
      <c r="D160" s="95"/>
      <c r="E160" s="111"/>
      <c r="F160" s="111"/>
      <c r="G160" s="111"/>
      <c r="H160" s="111"/>
      <c r="I160" s="111"/>
      <c r="J160" s="111"/>
      <c r="K160" s="111"/>
      <c r="L160" s="111"/>
      <c r="Z160" s="107"/>
      <c r="AA160" s="107"/>
      <c r="AB160" s="107"/>
      <c r="AC160" s="107"/>
      <c r="AD160" s="107"/>
      <c r="AE160" s="107"/>
      <c r="AF160" s="107"/>
      <c r="AG160" s="107"/>
    </row>
    <row r="161" spans="2:33" x14ac:dyDescent="0.3">
      <c r="B161" s="101"/>
      <c r="C161" s="111"/>
      <c r="D161" s="95"/>
      <c r="E161" s="111"/>
      <c r="F161" s="111"/>
      <c r="G161" s="111"/>
      <c r="H161" s="111"/>
      <c r="I161" s="111"/>
      <c r="J161" s="111"/>
      <c r="K161" s="111"/>
      <c r="L161" s="111"/>
      <c r="Z161" s="107"/>
      <c r="AA161" s="107"/>
      <c r="AB161" s="107"/>
      <c r="AC161" s="107"/>
      <c r="AD161" s="107"/>
      <c r="AE161" s="107"/>
      <c r="AF161" s="107"/>
      <c r="AG161" s="107"/>
    </row>
    <row r="162" spans="2:33" x14ac:dyDescent="0.3">
      <c r="B162" s="101"/>
      <c r="C162" s="111"/>
      <c r="D162" s="95"/>
      <c r="E162" s="111"/>
      <c r="F162" s="111"/>
      <c r="G162" s="111"/>
      <c r="H162" s="111"/>
      <c r="I162" s="111"/>
      <c r="J162" s="111"/>
      <c r="K162" s="111"/>
      <c r="L162" s="111"/>
      <c r="Z162" s="107"/>
      <c r="AA162" s="107"/>
      <c r="AB162" s="107"/>
      <c r="AC162" s="107"/>
      <c r="AD162" s="107"/>
      <c r="AE162" s="107"/>
      <c r="AF162" s="107"/>
      <c r="AG162" s="107"/>
    </row>
    <row r="163" spans="2:33" x14ac:dyDescent="0.3">
      <c r="B163" s="101"/>
      <c r="C163" s="111"/>
      <c r="D163" s="95"/>
      <c r="E163" s="111"/>
      <c r="F163" s="111"/>
      <c r="G163" s="111"/>
      <c r="H163" s="111"/>
      <c r="I163" s="111"/>
      <c r="J163" s="111"/>
      <c r="K163" s="111"/>
      <c r="L163" s="111"/>
      <c r="Z163" s="107"/>
      <c r="AA163" s="107"/>
      <c r="AB163" s="107"/>
      <c r="AC163" s="107"/>
      <c r="AD163" s="107"/>
      <c r="AE163" s="107"/>
      <c r="AF163" s="107"/>
      <c r="AG163" s="107"/>
    </row>
    <row r="164" spans="2:33" x14ac:dyDescent="0.3">
      <c r="B164" s="101"/>
      <c r="C164" s="111"/>
      <c r="D164" s="95"/>
      <c r="E164" s="111"/>
      <c r="F164" s="111"/>
      <c r="G164" s="111"/>
      <c r="H164" s="111"/>
      <c r="I164" s="111"/>
      <c r="J164" s="111"/>
      <c r="K164" s="111"/>
      <c r="L164" s="111"/>
      <c r="Z164" s="107"/>
      <c r="AA164" s="107"/>
      <c r="AB164" s="107"/>
      <c r="AC164" s="107"/>
      <c r="AD164" s="107"/>
      <c r="AE164" s="107"/>
      <c r="AF164" s="107"/>
      <c r="AG164" s="107"/>
    </row>
    <row r="165" spans="2:33" x14ac:dyDescent="0.3">
      <c r="B165" s="101"/>
      <c r="C165" s="111"/>
      <c r="D165" s="95"/>
      <c r="E165" s="111"/>
      <c r="F165" s="111"/>
      <c r="G165" s="111"/>
      <c r="H165" s="111"/>
      <c r="I165" s="111"/>
      <c r="J165" s="111"/>
      <c r="K165" s="111"/>
      <c r="L165" s="111"/>
      <c r="Z165" s="107"/>
      <c r="AA165" s="107"/>
      <c r="AB165" s="107"/>
      <c r="AC165" s="107"/>
      <c r="AD165" s="107"/>
      <c r="AE165" s="107"/>
      <c r="AF165" s="107"/>
      <c r="AG165" s="107"/>
    </row>
    <row r="166" spans="2:33" x14ac:dyDescent="0.3">
      <c r="B166" s="101"/>
      <c r="C166" s="111"/>
      <c r="D166" s="95"/>
      <c r="E166" s="111"/>
      <c r="F166" s="111"/>
      <c r="G166" s="111"/>
      <c r="H166" s="111"/>
      <c r="I166" s="111"/>
      <c r="J166" s="111"/>
      <c r="K166" s="111"/>
      <c r="L166" s="111"/>
      <c r="Z166" s="107"/>
      <c r="AA166" s="107"/>
      <c r="AB166" s="107"/>
      <c r="AC166" s="107"/>
      <c r="AD166" s="107"/>
      <c r="AE166" s="107"/>
      <c r="AF166" s="107"/>
      <c r="AG166" s="107"/>
    </row>
    <row r="167" spans="2:33" x14ac:dyDescent="0.3">
      <c r="B167" s="101"/>
      <c r="C167" s="111"/>
      <c r="D167" s="95"/>
      <c r="E167" s="111"/>
      <c r="F167" s="111"/>
      <c r="G167" s="111"/>
      <c r="H167" s="111"/>
      <c r="I167" s="111"/>
      <c r="J167" s="111"/>
      <c r="K167" s="111"/>
      <c r="L167" s="111"/>
      <c r="Z167" s="107"/>
      <c r="AA167" s="107"/>
      <c r="AB167" s="107"/>
      <c r="AC167" s="107"/>
      <c r="AD167" s="107"/>
      <c r="AE167" s="107"/>
      <c r="AF167" s="107"/>
      <c r="AG167" s="107"/>
    </row>
    <row r="168" spans="2:33" x14ac:dyDescent="0.3">
      <c r="B168" s="101"/>
      <c r="C168" s="111"/>
      <c r="D168" s="95"/>
      <c r="E168" s="111"/>
      <c r="F168" s="111"/>
      <c r="G168" s="111"/>
      <c r="H168" s="111"/>
      <c r="I168" s="111"/>
      <c r="J168" s="111"/>
      <c r="K168" s="111"/>
      <c r="L168" s="111"/>
      <c r="Z168" s="107"/>
      <c r="AA168" s="107"/>
      <c r="AB168" s="107"/>
      <c r="AC168" s="107"/>
      <c r="AD168" s="107"/>
      <c r="AE168" s="107"/>
      <c r="AF168" s="107"/>
      <c r="AG168" s="107"/>
    </row>
    <row r="169" spans="2:33" x14ac:dyDescent="0.3">
      <c r="B169" s="101"/>
      <c r="C169" s="111"/>
      <c r="D169" s="95"/>
      <c r="E169" s="111"/>
      <c r="F169" s="111"/>
      <c r="G169" s="111"/>
      <c r="H169" s="111"/>
      <c r="I169" s="111"/>
      <c r="J169" s="111"/>
      <c r="K169" s="111"/>
      <c r="L169" s="111"/>
      <c r="Z169" s="107"/>
      <c r="AA169" s="107"/>
      <c r="AB169" s="107"/>
      <c r="AC169" s="107"/>
      <c r="AD169" s="107"/>
      <c r="AE169" s="107"/>
      <c r="AF169" s="107"/>
      <c r="AG169" s="107"/>
    </row>
    <row r="170" spans="2:33" x14ac:dyDescent="0.3">
      <c r="B170" s="101"/>
      <c r="C170" s="111"/>
      <c r="D170" s="95"/>
      <c r="E170" s="111"/>
      <c r="F170" s="111"/>
      <c r="G170" s="111"/>
      <c r="H170" s="111"/>
      <c r="I170" s="111"/>
      <c r="J170" s="111"/>
      <c r="K170" s="111"/>
      <c r="L170" s="111"/>
      <c r="Z170" s="107"/>
      <c r="AA170" s="107"/>
      <c r="AB170" s="107"/>
      <c r="AC170" s="107"/>
      <c r="AD170" s="107"/>
      <c r="AE170" s="107"/>
      <c r="AF170" s="107"/>
      <c r="AG170" s="107"/>
    </row>
    <row r="171" spans="2:33" x14ac:dyDescent="0.3">
      <c r="B171" s="101"/>
      <c r="C171" s="111"/>
      <c r="D171" s="95"/>
      <c r="E171" s="111"/>
      <c r="F171" s="111"/>
      <c r="G171" s="111"/>
      <c r="H171" s="111"/>
      <c r="I171" s="111"/>
      <c r="J171" s="111"/>
      <c r="K171" s="111"/>
      <c r="L171" s="111"/>
      <c r="Z171" s="107"/>
      <c r="AA171" s="107"/>
      <c r="AB171" s="107"/>
      <c r="AC171" s="107"/>
      <c r="AD171" s="107"/>
      <c r="AE171" s="107"/>
      <c r="AF171" s="107"/>
      <c r="AG171" s="107"/>
    </row>
    <row r="172" spans="2:33" x14ac:dyDescent="0.3">
      <c r="B172" s="101"/>
      <c r="C172" s="111"/>
      <c r="D172" s="95"/>
      <c r="E172" s="111"/>
      <c r="F172" s="111"/>
      <c r="G172" s="111"/>
      <c r="H172" s="111"/>
      <c r="I172" s="111"/>
      <c r="J172" s="111"/>
      <c r="K172" s="111"/>
      <c r="L172" s="111"/>
      <c r="Z172" s="107"/>
      <c r="AA172" s="107"/>
      <c r="AB172" s="107"/>
      <c r="AC172" s="107"/>
      <c r="AD172" s="107"/>
      <c r="AE172" s="107"/>
      <c r="AF172" s="107"/>
      <c r="AG172" s="107"/>
    </row>
    <row r="173" spans="2:33" x14ac:dyDescent="0.3">
      <c r="B173" s="101"/>
      <c r="C173" s="111"/>
      <c r="D173" s="95"/>
      <c r="E173" s="111"/>
      <c r="F173" s="111"/>
      <c r="G173" s="111"/>
      <c r="H173" s="111"/>
      <c r="I173" s="111"/>
      <c r="J173" s="111"/>
      <c r="K173" s="111"/>
      <c r="L173" s="111"/>
      <c r="Z173" s="107"/>
      <c r="AA173" s="107"/>
      <c r="AB173" s="107"/>
      <c r="AC173" s="107"/>
      <c r="AD173" s="107"/>
      <c r="AE173" s="107"/>
      <c r="AF173" s="107"/>
      <c r="AG173" s="107"/>
    </row>
    <row r="174" spans="2:33" x14ac:dyDescent="0.3">
      <c r="B174" s="101"/>
      <c r="C174" s="111"/>
      <c r="D174" s="95"/>
      <c r="E174" s="111"/>
      <c r="F174" s="111"/>
      <c r="G174" s="111"/>
      <c r="H174" s="111"/>
      <c r="I174" s="111"/>
      <c r="J174" s="111"/>
      <c r="K174" s="111"/>
      <c r="L174" s="111"/>
      <c r="Z174" s="107"/>
      <c r="AA174" s="107"/>
      <c r="AB174" s="107"/>
      <c r="AC174" s="107"/>
      <c r="AD174" s="107"/>
      <c r="AE174" s="107"/>
      <c r="AF174" s="107"/>
      <c r="AG174" s="107"/>
    </row>
  </sheetData>
  <sheetProtection algorithmName="SHA-512" hashValue="UJi8I4ifAu5OgB1jaTa+9OZKVTG+bvdEzSmf1KAZo/0AYUWsURGDUZPzJFXNusEWVr6v5G8NI1UvWheaQeUJPQ==" saltValue="a0gh8818xN6hkUF1v6cRPA==" spinCount="100000" sheet="1" objects="1" scenarios="1"/>
  <mergeCells count="40">
    <mergeCell ref="Z85:AG85"/>
    <mergeCell ref="J15:M15"/>
    <mergeCell ref="I85:K85"/>
    <mergeCell ref="L85:M85"/>
    <mergeCell ref="I53:K53"/>
    <mergeCell ref="L53:M53"/>
    <mergeCell ref="N53:Y53"/>
    <mergeCell ref="N85:Y85"/>
    <mergeCell ref="Z53:AG53"/>
    <mergeCell ref="H49:O49"/>
    <mergeCell ref="P49:R49"/>
    <mergeCell ref="S14:W15"/>
    <mergeCell ref="S48:W49"/>
    <mergeCell ref="B5:B17"/>
    <mergeCell ref="AU1:AW1"/>
    <mergeCell ref="B1:R1"/>
    <mergeCell ref="H4:R9"/>
    <mergeCell ref="H11:R11"/>
    <mergeCell ref="H12:R12"/>
    <mergeCell ref="BA1:BC1"/>
    <mergeCell ref="AX1:AZ1"/>
    <mergeCell ref="H14:O14"/>
    <mergeCell ref="P14:R14"/>
    <mergeCell ref="E3:G3"/>
    <mergeCell ref="BN54:BQ54"/>
    <mergeCell ref="AR54:AS54"/>
    <mergeCell ref="B53:F53"/>
    <mergeCell ref="D21:F22"/>
    <mergeCell ref="D23:F23"/>
    <mergeCell ref="D24:F24"/>
    <mergeCell ref="BJ54:BM54"/>
    <mergeCell ref="B27:B51"/>
    <mergeCell ref="D35:F51"/>
    <mergeCell ref="D31:F33"/>
    <mergeCell ref="D27:F29"/>
    <mergeCell ref="AZ54:BD54"/>
    <mergeCell ref="BE54:BI54"/>
    <mergeCell ref="D25:F25"/>
    <mergeCell ref="B21:B25"/>
    <mergeCell ref="J48:M48"/>
  </mergeCells>
  <phoneticPr fontId="5" type="noConversion"/>
  <conditionalFormatting sqref="H16:W47">
    <cfRule type="expression" dxfId="48" priority="1">
      <formula>$H16="Geheim"</formula>
    </cfRule>
    <cfRule type="expression" dxfId="47" priority="2">
      <formula>$H16="Offengelegt"</formula>
    </cfRule>
    <cfRule type="expression" dxfId="46" priority="3">
      <formula>$H16="Erreicht"</formula>
    </cfRule>
  </conditionalFormatting>
  <conditionalFormatting sqref="AU4:AU24">
    <cfRule type="colorScale" priority="12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57:AU77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4:AV24">
    <cfRule type="colorScale" priority="12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W4:AW24">
    <cfRule type="colorScale" priority="12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X4:AX2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Y4:AY2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Z4:AZ2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A4:BA2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B4:BB2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C4:BC2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D57:BD77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I57:BI77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19" r:id="rId1" xr:uid="{E4D0238C-DB56-4795-B8D5-1183EE7FC27E}"/>
    <hyperlink ref="H12" r:id="rId2" xr:uid="{6AB3FC26-A084-4D58-82CC-61CB4042482B}"/>
    <hyperlink ref="D19" r:id="rId3" xr:uid="{2E067636-C5B1-49F6-963A-8C848203CDB9}"/>
  </hyperlinks>
  <pageMargins left="0.15748031496062992" right="3.937007874015748E-2" top="0.35433070866141736" bottom="0.11811023622047245" header="0.11811023622047245" footer="7.874015748031496E-2"/>
  <pageSetup paperSize="9" scale="39" fitToHeight="0" orientation="landscape" r:id="rId4"/>
  <rowBreaks count="1" manualBreakCount="1">
    <brk id="83" max="33" man="1"/>
  </rowBreaks>
  <ignoredErrors>
    <ignoredError sqref="E25:F25 E24:F24" evalError="1"/>
  </ignoredErrors>
  <drawing r:id="rId5"/>
  <legacyDrawing r:id="rId6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982B-0226-4FC4-B481-9BD26DD7F965}">
  <sheetPr codeName="Tabelle1">
    <tabColor rgb="FF92D050"/>
    <pageSetUpPr fitToPage="1"/>
  </sheetPr>
  <dimension ref="A1:AZ235"/>
  <sheetViews>
    <sheetView showGridLines="0" zoomScaleNormal="100" workbookViewId="0">
      <pane xSplit="7" ySplit="7" topLeftCell="I8" activePane="bottomRight" state="frozen"/>
      <selection pane="topRight" activeCell="H1" sqref="H1"/>
      <selection pane="bottomLeft" activeCell="A8" sqref="A8"/>
      <selection pane="bottomRight" activeCell="B8" sqref="B8"/>
    </sheetView>
  </sheetViews>
  <sheetFormatPr baseColWidth="10" defaultRowHeight="15" outlineLevelRow="1" outlineLevelCol="1" x14ac:dyDescent="0.3"/>
  <cols>
    <col min="1" max="1" width="1.28515625" style="95" customWidth="1"/>
    <col min="2" max="2" width="18.5703125" style="87" customWidth="1"/>
    <col min="3" max="3" width="66.42578125" style="47" customWidth="1"/>
    <col min="4" max="7" width="7.28515625" style="88" hidden="1" customWidth="1" outlineLevel="1"/>
    <col min="8" max="8" width="35.140625" style="47" customWidth="1" collapsed="1"/>
    <col min="9" max="9" width="12.42578125" style="504" customWidth="1"/>
    <col min="10" max="10" width="13.7109375" style="504" customWidth="1"/>
    <col min="11" max="16" width="13.7109375" style="88" customWidth="1"/>
    <col min="17" max="17" width="13.7109375" style="88" hidden="1" customWidth="1" outlineLevel="1"/>
    <col min="18" max="18" width="13.7109375" style="88" customWidth="1" collapsed="1"/>
    <col min="19" max="20" width="13.7109375" style="88" customWidth="1"/>
    <col min="21" max="21" width="10.140625" style="487" customWidth="1"/>
    <col min="22" max="22" width="10.140625" style="89" customWidth="1"/>
    <col min="23" max="23" width="10.140625" style="90" customWidth="1"/>
    <col min="24" max="24" width="47.85546875" style="91" bestFit="1" customWidth="1"/>
    <col min="25" max="25" width="11.42578125" style="95"/>
    <col min="26" max="26" width="11.42578125" style="2" hidden="1" customWidth="1" outlineLevel="1"/>
    <col min="27" max="27" width="11.42578125" style="644" hidden="1" customWidth="1" outlineLevel="1"/>
    <col min="28" max="28" width="11.42578125" style="2" hidden="1" customWidth="1" outlineLevel="1"/>
    <col min="29" max="29" width="11.42578125" style="95" collapsed="1"/>
    <col min="30" max="52" width="11.42578125" style="95"/>
    <col min="53" max="16384" width="11.42578125" style="47"/>
  </cols>
  <sheetData>
    <row r="1" spans="1:52" s="95" customFormat="1" ht="24" thickBot="1" x14ac:dyDescent="0.35">
      <c r="B1" s="902" t="str">
        <f>'Übersicht &amp; Anleitung'!B1:F1</f>
        <v>Der "Maraskan - Insel der Zwillingsgötter"-Crowdfunding-Guide       von       Hinter dem Schwarzen Auge</v>
      </c>
      <c r="C1" s="903"/>
      <c r="D1" s="903"/>
      <c r="E1" s="903"/>
      <c r="F1" s="903"/>
      <c r="G1" s="903"/>
      <c r="H1" s="903"/>
      <c r="I1" s="903"/>
      <c r="J1" s="903"/>
      <c r="K1" s="903"/>
      <c r="L1" s="903"/>
      <c r="M1" s="903"/>
      <c r="N1" s="903"/>
      <c r="O1" s="903"/>
      <c r="P1" s="903"/>
      <c r="Q1" s="903"/>
      <c r="R1" s="903"/>
      <c r="S1" s="903"/>
      <c r="T1" s="903"/>
      <c r="U1" s="903"/>
      <c r="V1" s="903"/>
      <c r="W1" s="903"/>
      <c r="X1" s="904"/>
      <c r="Z1" s="419" t="s">
        <v>2</v>
      </c>
      <c r="AA1" s="644"/>
      <c r="AB1" s="2"/>
      <c r="AG1" s="99"/>
      <c r="AH1" s="100"/>
      <c r="AI1" s="100"/>
      <c r="AJ1" s="99"/>
      <c r="AK1" s="100"/>
      <c r="AL1" s="100"/>
      <c r="AM1" s="99"/>
    </row>
    <row r="2" spans="1:52" s="2" customFormat="1" ht="4.5" customHeight="1" thickBot="1" x14ac:dyDescent="0.35">
      <c r="A2" s="95"/>
      <c r="B2" s="95"/>
      <c r="C2" s="95"/>
      <c r="D2" s="111"/>
      <c r="E2" s="111"/>
      <c r="F2" s="111"/>
      <c r="G2" s="111"/>
      <c r="H2" s="95"/>
      <c r="I2" s="485"/>
      <c r="J2" s="489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99"/>
      <c r="V2" s="95"/>
      <c r="W2" s="95"/>
      <c r="X2" s="95"/>
      <c r="Y2" s="95"/>
      <c r="AA2" s="644"/>
      <c r="AC2" s="95"/>
      <c r="AD2" s="95"/>
      <c r="AE2" s="95"/>
      <c r="AF2" s="95"/>
      <c r="AG2" s="99"/>
      <c r="AH2" s="100"/>
      <c r="AI2" s="100"/>
      <c r="AJ2" s="99"/>
      <c r="AK2" s="100"/>
      <c r="AL2" s="100"/>
      <c r="AM2" s="99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</row>
    <row r="3" spans="1:52" s="36" customFormat="1" ht="59.25" customHeight="1" thickBot="1" x14ac:dyDescent="0.35">
      <c r="A3" s="96"/>
      <c r="B3" s="933" t="s">
        <v>178</v>
      </c>
      <c r="C3" s="934"/>
      <c r="D3" s="935"/>
      <c r="E3" s="935"/>
      <c r="F3" s="935"/>
      <c r="G3" s="935"/>
      <c r="H3" s="935"/>
      <c r="I3" s="928" t="s">
        <v>636</v>
      </c>
      <c r="J3" s="490" t="s">
        <v>316</v>
      </c>
      <c r="K3" s="444" t="s">
        <v>561</v>
      </c>
      <c r="L3" s="444" t="s">
        <v>562</v>
      </c>
      <c r="M3" s="444" t="s">
        <v>563</v>
      </c>
      <c r="N3" s="444" t="s">
        <v>564</v>
      </c>
      <c r="O3" s="444" t="s">
        <v>565</v>
      </c>
      <c r="P3" s="444" t="s">
        <v>566</v>
      </c>
      <c r="Q3" s="444"/>
      <c r="R3" s="444" t="s">
        <v>568</v>
      </c>
      <c r="S3" s="444" t="s">
        <v>569</v>
      </c>
      <c r="T3" s="478" t="s">
        <v>567</v>
      </c>
      <c r="U3" s="936" t="s">
        <v>378</v>
      </c>
      <c r="V3" s="937"/>
      <c r="W3" s="937"/>
      <c r="X3" s="938"/>
      <c r="Y3" s="96"/>
      <c r="Z3" s="419" t="s">
        <v>2</v>
      </c>
      <c r="AA3" s="645"/>
      <c r="AC3" s="96"/>
      <c r="AD3" s="96"/>
      <c r="AE3" s="96"/>
      <c r="AF3" s="96"/>
      <c r="AG3" s="99"/>
      <c r="AH3" s="100"/>
      <c r="AI3" s="100"/>
      <c r="AJ3" s="99"/>
      <c r="AK3" s="100"/>
      <c r="AL3" s="100"/>
      <c r="AM3" s="99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 spans="1:52" s="2" customFormat="1" ht="33.75" hidden="1" customHeight="1" outlineLevel="1" thickBot="1" x14ac:dyDescent="0.35">
      <c r="A4" s="95"/>
      <c r="B4" s="946" t="s">
        <v>0</v>
      </c>
      <c r="C4" s="785"/>
      <c r="D4" s="935"/>
      <c r="E4" s="935"/>
      <c r="F4" s="935"/>
      <c r="G4" s="935"/>
      <c r="H4" s="935"/>
      <c r="I4" s="929"/>
      <c r="J4" s="476"/>
      <c r="K4" s="476" t="s">
        <v>392</v>
      </c>
      <c r="L4" s="476" t="s">
        <v>419</v>
      </c>
      <c r="M4" s="476" t="s">
        <v>420</v>
      </c>
      <c r="N4" s="476" t="s">
        <v>393</v>
      </c>
      <c r="O4" s="476" t="s">
        <v>421</v>
      </c>
      <c r="P4" s="476" t="s">
        <v>422</v>
      </c>
      <c r="Q4" s="476"/>
      <c r="R4" s="476" t="s">
        <v>421</v>
      </c>
      <c r="S4" s="476" t="s">
        <v>422</v>
      </c>
      <c r="T4" s="479" t="s">
        <v>423</v>
      </c>
      <c r="U4" s="939"/>
      <c r="V4" s="940"/>
      <c r="W4" s="940"/>
      <c r="X4" s="941"/>
      <c r="Y4" s="95"/>
      <c r="Z4" s="419" t="s">
        <v>2</v>
      </c>
      <c r="AA4" s="644"/>
      <c r="AC4" s="95"/>
      <c r="AD4" s="95"/>
      <c r="AE4" s="95"/>
      <c r="AF4" s="95"/>
      <c r="AG4" s="99"/>
      <c r="AH4" s="100"/>
      <c r="AI4" s="100"/>
      <c r="AJ4" s="99"/>
      <c r="AK4" s="100"/>
      <c r="AL4" s="100"/>
      <c r="AM4" s="99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</row>
    <row r="5" spans="1:52" s="38" customFormat="1" ht="18.75" customHeight="1" collapsed="1" thickBot="1" x14ac:dyDescent="0.35">
      <c r="A5" s="97"/>
      <c r="B5" s="946"/>
      <c r="C5" s="786"/>
      <c r="D5" s="181"/>
      <c r="E5" s="181"/>
      <c r="F5" s="181"/>
      <c r="G5" s="181"/>
      <c r="H5" s="446" t="s">
        <v>360</v>
      </c>
      <c r="I5" s="445"/>
      <c r="J5" s="538"/>
      <c r="K5" s="445"/>
      <c r="L5" s="445"/>
      <c r="M5" s="445"/>
      <c r="N5" s="445"/>
      <c r="O5" s="445"/>
      <c r="P5" s="445"/>
      <c r="Q5" s="445"/>
      <c r="R5" s="445"/>
      <c r="S5" s="445"/>
      <c r="T5" s="480"/>
      <c r="U5" s="939"/>
      <c r="V5" s="940"/>
      <c r="W5" s="942"/>
      <c r="X5" s="943"/>
      <c r="Y5" s="97"/>
      <c r="Z5" s="419" t="s">
        <v>2</v>
      </c>
      <c r="AA5" s="645"/>
      <c r="AC5" s="97"/>
      <c r="AD5" s="97"/>
      <c r="AE5" s="97"/>
      <c r="AF5" s="97"/>
      <c r="AG5" s="99"/>
      <c r="AH5" s="100"/>
      <c r="AI5" s="100"/>
      <c r="AJ5" s="99"/>
      <c r="AK5" s="100"/>
      <c r="AL5" s="100"/>
      <c r="AM5" s="99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</row>
    <row r="6" spans="1:52" s="38" customFormat="1" ht="18.75" thickBot="1" x14ac:dyDescent="0.35">
      <c r="A6" s="97"/>
      <c r="B6" s="947"/>
      <c r="C6" s="198"/>
      <c r="D6" s="198"/>
      <c r="E6" s="198"/>
      <c r="F6" s="198"/>
      <c r="G6" s="198"/>
      <c r="H6" s="441" t="s">
        <v>366</v>
      </c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3"/>
      <c r="U6" s="944" t="s">
        <v>356</v>
      </c>
      <c r="V6" s="945"/>
      <c r="W6" s="557">
        <v>7.0000000000000007E-2</v>
      </c>
      <c r="X6" s="97"/>
      <c r="Y6" s="97"/>
      <c r="Z6" s="419" t="s">
        <v>2</v>
      </c>
      <c r="AA6" s="645"/>
      <c r="AC6" s="97"/>
      <c r="AD6" s="97"/>
      <c r="AE6" s="97"/>
      <c r="AF6" s="97"/>
      <c r="AG6" s="99"/>
      <c r="AH6" s="100"/>
      <c r="AI6" s="100"/>
      <c r="AJ6" s="99"/>
      <c r="AK6" s="100"/>
      <c r="AL6" s="100"/>
      <c r="AM6" s="99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</row>
    <row r="7" spans="1:52" s="40" customFormat="1" ht="60.75" thickBot="1" x14ac:dyDescent="0.35">
      <c r="A7" s="96"/>
      <c r="B7" s="582" t="s">
        <v>349</v>
      </c>
      <c r="C7" s="230" t="s">
        <v>142</v>
      </c>
      <c r="D7" s="544" t="s">
        <v>325</v>
      </c>
      <c r="E7" s="544" t="s">
        <v>327</v>
      </c>
      <c r="F7" s="544" t="s">
        <v>328</v>
      </c>
      <c r="G7" s="544" t="s">
        <v>337</v>
      </c>
      <c r="H7" s="231" t="s">
        <v>317</v>
      </c>
      <c r="I7" s="491" t="s">
        <v>128</v>
      </c>
      <c r="J7" s="491" t="s">
        <v>128</v>
      </c>
      <c r="K7" s="232">
        <f>ROUND(42.06*(1+$W$6),2)</f>
        <v>45</v>
      </c>
      <c r="L7" s="232">
        <f>ROUND(65.42*(1+$W$6),2)</f>
        <v>70</v>
      </c>
      <c r="M7" s="232">
        <f>ROUND(79.44*(1+$W$6),2)</f>
        <v>85</v>
      </c>
      <c r="N7" s="232">
        <v>99</v>
      </c>
      <c r="O7" s="232">
        <f>ROUND(84.11*(1+$W$6),2)</f>
        <v>90</v>
      </c>
      <c r="P7" s="232">
        <f>ROUND(107.48*(1+$W$6),2)</f>
        <v>115</v>
      </c>
      <c r="Q7" s="233"/>
      <c r="R7" s="232">
        <v>170</v>
      </c>
      <c r="S7" s="232">
        <v>195</v>
      </c>
      <c r="T7" s="232">
        <v>250</v>
      </c>
      <c r="U7" s="481" t="s">
        <v>375</v>
      </c>
      <c r="V7" s="607" t="s">
        <v>376</v>
      </c>
      <c r="W7" s="127" t="s">
        <v>332</v>
      </c>
      <c r="X7" s="140" t="s">
        <v>44</v>
      </c>
      <c r="Y7" s="96"/>
      <c r="Z7" s="419" t="s">
        <v>2</v>
      </c>
      <c r="AA7" s="645"/>
      <c r="AB7" s="36"/>
      <c r="AC7" s="96"/>
      <c r="AD7" s="96"/>
      <c r="AE7" s="96"/>
      <c r="AF7" s="96"/>
      <c r="AG7" s="99"/>
      <c r="AH7" s="100"/>
      <c r="AI7" s="100"/>
      <c r="AJ7" s="99"/>
      <c r="AK7" s="100"/>
      <c r="AL7" s="100"/>
      <c r="AM7" s="99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spans="1:52" s="561" customFormat="1" ht="18" x14ac:dyDescent="0.3">
      <c r="A8" s="185"/>
      <c r="B8" s="702"/>
      <c r="C8" s="592" t="s">
        <v>596</v>
      </c>
      <c r="D8" s="584" t="s">
        <v>371</v>
      </c>
      <c r="E8" s="584">
        <v>6</v>
      </c>
      <c r="F8" s="584">
        <v>11</v>
      </c>
      <c r="G8" s="584">
        <v>30</v>
      </c>
      <c r="H8" s="699" t="s">
        <v>597</v>
      </c>
      <c r="I8" s="595" t="s">
        <v>84</v>
      </c>
      <c r="J8" s="595" t="s">
        <v>364</v>
      </c>
      <c r="K8" s="587" t="s">
        <v>2</v>
      </c>
      <c r="L8" s="595" t="s">
        <v>364</v>
      </c>
      <c r="M8" s="587" t="s">
        <v>2</v>
      </c>
      <c r="N8" s="595" t="s">
        <v>364</v>
      </c>
      <c r="O8" s="587" t="s">
        <v>2</v>
      </c>
      <c r="P8" s="595" t="s">
        <v>364</v>
      </c>
      <c r="Q8" s="586"/>
      <c r="R8" s="587" t="s">
        <v>2</v>
      </c>
      <c r="S8" s="595" t="s">
        <v>364</v>
      </c>
      <c r="T8" s="587" t="s">
        <v>2</v>
      </c>
      <c r="U8" s="588">
        <v>42.06</v>
      </c>
      <c r="V8" s="589">
        <f>ROUND(U8*(1+$W$6),2)</f>
        <v>45</v>
      </c>
      <c r="W8" s="590">
        <v>44.95</v>
      </c>
      <c r="X8" s="593"/>
      <c r="Y8" s="185"/>
      <c r="Z8" s="558" t="s">
        <v>2</v>
      </c>
      <c r="AA8" s="646">
        <v>825</v>
      </c>
      <c r="AB8" s="559">
        <f t="shared" ref="AB8:AB30" si="0">V8/W8</f>
        <v>1.0011123470522802</v>
      </c>
      <c r="AC8" s="185"/>
      <c r="AD8" s="605"/>
      <c r="AE8" s="185"/>
      <c r="AF8" s="185"/>
      <c r="AG8" s="560"/>
      <c r="AH8" s="100"/>
      <c r="AI8" s="100"/>
      <c r="AJ8" s="560"/>
      <c r="AK8" s="100"/>
      <c r="AL8" s="100"/>
      <c r="AM8" s="560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</row>
    <row r="9" spans="1:52" s="49" customFormat="1" ht="18" hidden="1" customHeight="1" outlineLevel="1" x14ac:dyDescent="0.3">
      <c r="A9" s="99"/>
      <c r="B9" s="808"/>
      <c r="C9" s="709" t="s">
        <v>598</v>
      </c>
      <c r="D9" s="555" t="s">
        <v>324</v>
      </c>
      <c r="E9" s="200" t="s">
        <v>324</v>
      </c>
      <c r="F9" s="200" t="s">
        <v>324</v>
      </c>
      <c r="G9" s="200" t="s">
        <v>324</v>
      </c>
      <c r="H9" s="201" t="s">
        <v>599</v>
      </c>
      <c r="I9" s="493" t="s">
        <v>90</v>
      </c>
      <c r="J9" s="493" t="s">
        <v>90</v>
      </c>
      <c r="K9" s="266" t="s">
        <v>90</v>
      </c>
      <c r="L9" s="266" t="s">
        <v>90</v>
      </c>
      <c r="M9" s="266" t="s">
        <v>90</v>
      </c>
      <c r="N9" s="266" t="s">
        <v>90</v>
      </c>
      <c r="O9" s="266" t="s">
        <v>90</v>
      </c>
      <c r="P9" s="266" t="s">
        <v>90</v>
      </c>
      <c r="Q9" s="266"/>
      <c r="R9" s="266" t="s">
        <v>90</v>
      </c>
      <c r="S9" s="266" t="s">
        <v>90</v>
      </c>
      <c r="T9" s="266" t="s">
        <v>90</v>
      </c>
      <c r="U9" s="260" t="s">
        <v>3</v>
      </c>
      <c r="V9" s="260" t="s">
        <v>3</v>
      </c>
      <c r="W9" s="202" t="s">
        <v>3</v>
      </c>
      <c r="X9" s="203" t="s">
        <v>554</v>
      </c>
      <c r="Y9" s="99"/>
      <c r="Z9" s="419" t="s">
        <v>2</v>
      </c>
      <c r="AA9" s="644" t="str">
        <f t="shared" ref="AA9" si="1">D9</f>
        <v>/</v>
      </c>
      <c r="AB9" s="546" t="e">
        <f t="shared" si="0"/>
        <v>#VALUE!</v>
      </c>
      <c r="AC9" s="418"/>
      <c r="AD9" s="605"/>
      <c r="AE9" s="99"/>
      <c r="AF9" s="99"/>
      <c r="AG9" s="99"/>
      <c r="AH9" s="100"/>
      <c r="AI9" s="100"/>
      <c r="AJ9" s="99"/>
      <c r="AK9" s="100"/>
      <c r="AL9" s="100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</row>
    <row r="10" spans="1:52" s="561" customFormat="1" ht="18" collapsed="1" x14ac:dyDescent="0.3">
      <c r="A10" s="185"/>
      <c r="B10" s="703"/>
      <c r="C10" s="592" t="s">
        <v>600</v>
      </c>
      <c r="D10" s="584" t="s">
        <v>371</v>
      </c>
      <c r="E10" s="584">
        <v>6</v>
      </c>
      <c r="F10" s="584">
        <v>11</v>
      </c>
      <c r="G10" s="584">
        <v>30</v>
      </c>
      <c r="H10" s="699" t="s">
        <v>601</v>
      </c>
      <c r="I10" s="595" t="s">
        <v>84</v>
      </c>
      <c r="J10" s="595" t="s">
        <v>364</v>
      </c>
      <c r="K10" s="595" t="s">
        <v>364</v>
      </c>
      <c r="L10" s="587" t="s">
        <v>2</v>
      </c>
      <c r="M10" s="595" t="s">
        <v>364</v>
      </c>
      <c r="N10" s="595" t="s">
        <v>364</v>
      </c>
      <c r="O10" s="595" t="s">
        <v>364</v>
      </c>
      <c r="P10" s="587" t="s">
        <v>2</v>
      </c>
      <c r="Q10" s="586"/>
      <c r="R10" s="595" t="s">
        <v>364</v>
      </c>
      <c r="S10" s="587" t="s">
        <v>2</v>
      </c>
      <c r="T10" s="587" t="s">
        <v>2</v>
      </c>
      <c r="U10" s="588">
        <v>65.42</v>
      </c>
      <c r="V10" s="589">
        <f>ROUND(U10*(1+$W$6),2)</f>
        <v>70</v>
      </c>
      <c r="W10" s="590">
        <v>69.95</v>
      </c>
      <c r="X10" s="593"/>
      <c r="Y10" s="185"/>
      <c r="Z10" s="558" t="s">
        <v>2</v>
      </c>
      <c r="AA10" s="646">
        <v>825</v>
      </c>
      <c r="AB10" s="559">
        <f t="shared" ref="AB10:AB11" si="2">V10/W10</f>
        <v>1.0007147962830594</v>
      </c>
      <c r="AC10" s="185"/>
      <c r="AD10" s="605"/>
      <c r="AE10" s="185"/>
      <c r="AF10" s="185"/>
      <c r="AG10" s="560"/>
      <c r="AH10" s="100"/>
      <c r="AI10" s="100"/>
      <c r="AJ10" s="560"/>
      <c r="AK10" s="100"/>
      <c r="AL10" s="100"/>
      <c r="AM10" s="560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</row>
    <row r="11" spans="1:52" s="49" customFormat="1" ht="18" hidden="1" customHeight="1" outlineLevel="1" x14ac:dyDescent="0.3">
      <c r="A11" s="99"/>
      <c r="B11" s="808"/>
      <c r="C11" s="709" t="s">
        <v>598</v>
      </c>
      <c r="D11" s="555" t="s">
        <v>324</v>
      </c>
      <c r="E11" s="200" t="s">
        <v>324</v>
      </c>
      <c r="F11" s="200" t="s">
        <v>324</v>
      </c>
      <c r="G11" s="200" t="s">
        <v>324</v>
      </c>
      <c r="H11" s="201" t="s">
        <v>599</v>
      </c>
      <c r="I11" s="493" t="s">
        <v>90</v>
      </c>
      <c r="J11" s="493" t="s">
        <v>90</v>
      </c>
      <c r="K11" s="266" t="s">
        <v>90</v>
      </c>
      <c r="L11" s="266" t="s">
        <v>90</v>
      </c>
      <c r="M11" s="266" t="s">
        <v>90</v>
      </c>
      <c r="N11" s="266" t="s">
        <v>90</v>
      </c>
      <c r="O11" s="266" t="s">
        <v>90</v>
      </c>
      <c r="P11" s="266" t="s">
        <v>90</v>
      </c>
      <c r="Q11" s="266"/>
      <c r="R11" s="266" t="s">
        <v>90</v>
      </c>
      <c r="S11" s="266" t="s">
        <v>90</v>
      </c>
      <c r="T11" s="266" t="s">
        <v>90</v>
      </c>
      <c r="U11" s="260" t="s">
        <v>3</v>
      </c>
      <c r="V11" s="260" t="s">
        <v>3</v>
      </c>
      <c r="W11" s="202" t="s">
        <v>3</v>
      </c>
      <c r="X11" s="203" t="s">
        <v>554</v>
      </c>
      <c r="Y11" s="99"/>
      <c r="Z11" s="419" t="s">
        <v>2</v>
      </c>
      <c r="AA11" s="644" t="str">
        <f t="shared" ref="AA11" si="3">D11</f>
        <v>/</v>
      </c>
      <c r="AB11" s="546" t="e">
        <f t="shared" si="2"/>
        <v>#VALUE!</v>
      </c>
      <c r="AC11" s="418"/>
      <c r="AD11" s="605"/>
      <c r="AE11" s="99"/>
      <c r="AF11" s="99"/>
      <c r="AG11" s="99"/>
      <c r="AH11" s="100"/>
      <c r="AI11" s="100"/>
      <c r="AJ11" s="99"/>
      <c r="AK11" s="100"/>
      <c r="AL11" s="100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</row>
    <row r="12" spans="1:52" s="561" customFormat="1" ht="18" collapsed="1" x14ac:dyDescent="0.3">
      <c r="A12" s="185"/>
      <c r="B12" s="703"/>
      <c r="C12" s="592" t="s">
        <v>602</v>
      </c>
      <c r="D12" s="584" t="s">
        <v>371</v>
      </c>
      <c r="E12" s="584">
        <v>6</v>
      </c>
      <c r="F12" s="584">
        <v>11</v>
      </c>
      <c r="G12" s="584">
        <v>30</v>
      </c>
      <c r="H12" s="699" t="s">
        <v>519</v>
      </c>
      <c r="I12" s="595" t="s">
        <v>84</v>
      </c>
      <c r="J12" s="595" t="s">
        <v>364</v>
      </c>
      <c r="K12" s="595" t="s">
        <v>364</v>
      </c>
      <c r="L12" s="595" t="s">
        <v>364</v>
      </c>
      <c r="M12" s="595" t="s">
        <v>364</v>
      </c>
      <c r="N12" s="595" t="s">
        <v>364</v>
      </c>
      <c r="O12" s="587" t="s">
        <v>2</v>
      </c>
      <c r="P12" s="587" t="s">
        <v>2</v>
      </c>
      <c r="Q12" s="586"/>
      <c r="R12" s="587" t="s">
        <v>2</v>
      </c>
      <c r="S12" s="587" t="s">
        <v>2</v>
      </c>
      <c r="T12" s="587" t="s">
        <v>2</v>
      </c>
      <c r="U12" s="588">
        <v>28.04</v>
      </c>
      <c r="V12" s="589">
        <f>ROUND(U12*(1+$W$6),2)</f>
        <v>30</v>
      </c>
      <c r="W12" s="590">
        <v>29.95</v>
      </c>
      <c r="X12" s="593"/>
      <c r="Y12" s="185"/>
      <c r="Z12" s="558" t="s">
        <v>2</v>
      </c>
      <c r="AA12" s="646">
        <v>825</v>
      </c>
      <c r="AB12" s="559">
        <f t="shared" ref="AB12" si="4">V12/W12</f>
        <v>1.001669449081803</v>
      </c>
      <c r="AC12" s="185"/>
      <c r="AD12" s="605"/>
      <c r="AE12" s="185"/>
      <c r="AF12" s="185"/>
      <c r="AG12" s="560"/>
      <c r="AH12" s="100"/>
      <c r="AI12" s="100"/>
      <c r="AJ12" s="560"/>
      <c r="AK12" s="100"/>
      <c r="AL12" s="100"/>
      <c r="AM12" s="560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</row>
    <row r="13" spans="1:52" s="561" customFormat="1" ht="18" x14ac:dyDescent="0.3">
      <c r="A13" s="185"/>
      <c r="B13" s="703"/>
      <c r="C13" s="592" t="s">
        <v>603</v>
      </c>
      <c r="D13" s="584" t="s">
        <v>371</v>
      </c>
      <c r="E13" s="584">
        <v>6</v>
      </c>
      <c r="F13" s="584">
        <v>11</v>
      </c>
      <c r="G13" s="584">
        <v>30</v>
      </c>
      <c r="H13" s="699" t="s">
        <v>604</v>
      </c>
      <c r="I13" s="595" t="s">
        <v>84</v>
      </c>
      <c r="J13" s="595" t="s">
        <v>364</v>
      </c>
      <c r="K13" s="595" t="s">
        <v>364</v>
      </c>
      <c r="L13" s="595" t="s">
        <v>364</v>
      </c>
      <c r="M13" s="595" t="s">
        <v>364</v>
      </c>
      <c r="N13" s="595" t="s">
        <v>364</v>
      </c>
      <c r="O13" s="587" t="s">
        <v>2</v>
      </c>
      <c r="P13" s="587" t="s">
        <v>2</v>
      </c>
      <c r="Q13" s="586"/>
      <c r="R13" s="587" t="s">
        <v>2</v>
      </c>
      <c r="S13" s="587" t="s">
        <v>2</v>
      </c>
      <c r="T13" s="587" t="s">
        <v>2</v>
      </c>
      <c r="U13" s="588">
        <v>18.690000000000001</v>
      </c>
      <c r="V13" s="589">
        <f>ROUND(U13*(1+$W$6),2)</f>
        <v>20</v>
      </c>
      <c r="W13" s="590">
        <v>19.95</v>
      </c>
      <c r="X13" s="593"/>
      <c r="Y13" s="185"/>
      <c r="Z13" s="558" t="s">
        <v>2</v>
      </c>
      <c r="AA13" s="646">
        <v>825</v>
      </c>
      <c r="AB13" s="559">
        <f t="shared" ref="AB13:AB16" si="5">V13/W13</f>
        <v>1.0025062656641603</v>
      </c>
      <c r="AC13" s="185"/>
      <c r="AD13" s="605"/>
      <c r="AE13" s="185"/>
      <c r="AF13" s="185"/>
      <c r="AG13" s="560"/>
      <c r="AH13" s="100"/>
      <c r="AI13" s="100"/>
      <c r="AJ13" s="560"/>
      <c r="AK13" s="100"/>
      <c r="AL13" s="100"/>
      <c r="AM13" s="560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</row>
    <row r="14" spans="1:52" s="49" customFormat="1" ht="18" hidden="1" customHeight="1" outlineLevel="1" x14ac:dyDescent="0.3">
      <c r="A14" s="99"/>
      <c r="B14" s="824"/>
      <c r="C14" s="709" t="s">
        <v>528</v>
      </c>
      <c r="D14" s="555" t="s">
        <v>324</v>
      </c>
      <c r="E14" s="200" t="s">
        <v>324</v>
      </c>
      <c r="F14" s="200" t="s">
        <v>324</v>
      </c>
      <c r="G14" s="200" t="s">
        <v>324</v>
      </c>
      <c r="H14" s="201" t="s">
        <v>605</v>
      </c>
      <c r="I14" s="493" t="s">
        <v>90</v>
      </c>
      <c r="J14" s="493" t="s">
        <v>90</v>
      </c>
      <c r="K14" s="266" t="s">
        <v>90</v>
      </c>
      <c r="L14" s="266" t="s">
        <v>90</v>
      </c>
      <c r="M14" s="266" t="s">
        <v>90</v>
      </c>
      <c r="N14" s="266" t="s">
        <v>90</v>
      </c>
      <c r="O14" s="266" t="s">
        <v>90</v>
      </c>
      <c r="P14" s="266" t="s">
        <v>90</v>
      </c>
      <c r="Q14" s="266"/>
      <c r="R14" s="266" t="s">
        <v>90</v>
      </c>
      <c r="S14" s="266" t="s">
        <v>90</v>
      </c>
      <c r="T14" s="266" t="s">
        <v>90</v>
      </c>
      <c r="U14" s="260" t="s">
        <v>3</v>
      </c>
      <c r="V14" s="260" t="s">
        <v>3</v>
      </c>
      <c r="W14" s="202" t="s">
        <v>3</v>
      </c>
      <c r="X14" s="203" t="s">
        <v>529</v>
      </c>
      <c r="Y14" s="99"/>
      <c r="Z14" s="419" t="s">
        <v>2</v>
      </c>
      <c r="AA14" s="644" t="str">
        <f t="shared" ref="AA14" si="6">D14</f>
        <v>/</v>
      </c>
      <c r="AB14" s="546" t="e">
        <f t="shared" ref="AB14" si="7">V14/W14</f>
        <v>#VALUE!</v>
      </c>
      <c r="AC14" s="418"/>
      <c r="AD14" s="605"/>
      <c r="AE14" s="99"/>
      <c r="AF14" s="99"/>
      <c r="AG14" s="99"/>
      <c r="AH14" s="100"/>
      <c r="AI14" s="100"/>
      <c r="AJ14" s="99"/>
      <c r="AK14" s="100"/>
      <c r="AL14" s="100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</row>
    <row r="15" spans="1:52" s="49" customFormat="1" ht="18" hidden="1" customHeight="1" outlineLevel="1" x14ac:dyDescent="0.3">
      <c r="A15" s="99"/>
      <c r="B15" s="825"/>
      <c r="C15" s="709" t="s">
        <v>530</v>
      </c>
      <c r="D15" s="555" t="s">
        <v>324</v>
      </c>
      <c r="E15" s="200" t="s">
        <v>324</v>
      </c>
      <c r="F15" s="200" t="s">
        <v>324</v>
      </c>
      <c r="G15" s="200" t="s">
        <v>324</v>
      </c>
      <c r="H15" s="201" t="s">
        <v>605</v>
      </c>
      <c r="I15" s="493" t="s">
        <v>90</v>
      </c>
      <c r="J15" s="493" t="s">
        <v>90</v>
      </c>
      <c r="K15" s="266" t="s">
        <v>90</v>
      </c>
      <c r="L15" s="266" t="s">
        <v>90</v>
      </c>
      <c r="M15" s="266" t="s">
        <v>90</v>
      </c>
      <c r="N15" s="266" t="s">
        <v>90</v>
      </c>
      <c r="O15" s="266" t="s">
        <v>90</v>
      </c>
      <c r="P15" s="266" t="s">
        <v>90</v>
      </c>
      <c r="Q15" s="266"/>
      <c r="R15" s="266" t="s">
        <v>90</v>
      </c>
      <c r="S15" s="266" t="s">
        <v>90</v>
      </c>
      <c r="T15" s="266" t="s">
        <v>90</v>
      </c>
      <c r="U15" s="260" t="s">
        <v>3</v>
      </c>
      <c r="V15" s="260" t="s">
        <v>3</v>
      </c>
      <c r="W15" s="202" t="s">
        <v>3</v>
      </c>
      <c r="X15" s="203" t="s">
        <v>529</v>
      </c>
      <c r="Y15" s="99"/>
      <c r="Z15" s="419" t="s">
        <v>2</v>
      </c>
      <c r="AA15" s="644" t="str">
        <f t="shared" ref="AA15:AA16" si="8">D15</f>
        <v>/</v>
      </c>
      <c r="AB15" s="546" t="e">
        <f t="shared" si="5"/>
        <v>#VALUE!</v>
      </c>
      <c r="AC15" s="418"/>
      <c r="AD15" s="605"/>
      <c r="AE15" s="99"/>
      <c r="AF15" s="99"/>
      <c r="AG15" s="99"/>
      <c r="AH15" s="100"/>
      <c r="AI15" s="100"/>
      <c r="AJ15" s="99"/>
      <c r="AK15" s="100"/>
      <c r="AL15" s="100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</row>
    <row r="16" spans="1:52" s="49" customFormat="1" ht="18" hidden="1" customHeight="1" outlineLevel="1" x14ac:dyDescent="0.3">
      <c r="A16" s="99"/>
      <c r="B16" s="826"/>
      <c r="C16" s="709" t="s">
        <v>531</v>
      </c>
      <c r="D16" s="555" t="s">
        <v>324</v>
      </c>
      <c r="E16" s="200" t="s">
        <v>324</v>
      </c>
      <c r="F16" s="200" t="s">
        <v>324</v>
      </c>
      <c r="G16" s="200" t="s">
        <v>324</v>
      </c>
      <c r="H16" s="201" t="s">
        <v>605</v>
      </c>
      <c r="I16" s="493" t="s">
        <v>90</v>
      </c>
      <c r="J16" s="493" t="s">
        <v>90</v>
      </c>
      <c r="K16" s="266" t="s">
        <v>90</v>
      </c>
      <c r="L16" s="266" t="s">
        <v>90</v>
      </c>
      <c r="M16" s="266" t="s">
        <v>90</v>
      </c>
      <c r="N16" s="266" t="s">
        <v>90</v>
      </c>
      <c r="O16" s="266" t="s">
        <v>90</v>
      </c>
      <c r="P16" s="266" t="s">
        <v>90</v>
      </c>
      <c r="Q16" s="266"/>
      <c r="R16" s="266" t="s">
        <v>90</v>
      </c>
      <c r="S16" s="266" t="s">
        <v>90</v>
      </c>
      <c r="T16" s="266" t="s">
        <v>90</v>
      </c>
      <c r="U16" s="260" t="s">
        <v>3</v>
      </c>
      <c r="V16" s="260" t="s">
        <v>3</v>
      </c>
      <c r="W16" s="202" t="s">
        <v>3</v>
      </c>
      <c r="X16" s="203" t="s">
        <v>529</v>
      </c>
      <c r="Y16" s="99"/>
      <c r="Z16" s="419" t="s">
        <v>2</v>
      </c>
      <c r="AA16" s="644" t="str">
        <f t="shared" si="8"/>
        <v>/</v>
      </c>
      <c r="AB16" s="546" t="e">
        <f t="shared" si="5"/>
        <v>#VALUE!</v>
      </c>
      <c r="AC16" s="418"/>
      <c r="AD16" s="605"/>
      <c r="AE16" s="99"/>
      <c r="AF16" s="99"/>
      <c r="AG16" s="99"/>
      <c r="AH16" s="100"/>
      <c r="AI16" s="100"/>
      <c r="AJ16" s="99"/>
      <c r="AK16" s="100"/>
      <c r="AL16" s="100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</row>
    <row r="17" spans="1:52" s="561" customFormat="1" ht="18.75" collapsed="1" thickBot="1" x14ac:dyDescent="0.35">
      <c r="A17" s="185"/>
      <c r="B17" s="704"/>
      <c r="C17" s="592" t="s">
        <v>606</v>
      </c>
      <c r="D17" s="584" t="s">
        <v>371</v>
      </c>
      <c r="E17" s="584">
        <v>6</v>
      </c>
      <c r="F17" s="584">
        <v>11</v>
      </c>
      <c r="G17" s="584">
        <v>30</v>
      </c>
      <c r="H17" s="699" t="s">
        <v>427</v>
      </c>
      <c r="I17" s="595" t="s">
        <v>84</v>
      </c>
      <c r="J17" s="595" t="s">
        <v>364</v>
      </c>
      <c r="K17" s="595" t="s">
        <v>364</v>
      </c>
      <c r="L17" s="595" t="s">
        <v>364</v>
      </c>
      <c r="M17" s="595" t="s">
        <v>364</v>
      </c>
      <c r="N17" s="595" t="s">
        <v>364</v>
      </c>
      <c r="O17" s="595" t="s">
        <v>364</v>
      </c>
      <c r="P17" s="595" t="s">
        <v>364</v>
      </c>
      <c r="Q17" s="586"/>
      <c r="R17" s="587" t="s">
        <v>2</v>
      </c>
      <c r="S17" s="587" t="s">
        <v>2</v>
      </c>
      <c r="T17" s="587" t="s">
        <v>2</v>
      </c>
      <c r="U17" s="588">
        <v>42.06</v>
      </c>
      <c r="V17" s="589">
        <f>ROUND(U17*(1+$W$6),2)</f>
        <v>45</v>
      </c>
      <c r="W17" s="590">
        <v>44.95</v>
      </c>
      <c r="X17" s="593"/>
      <c r="Y17" s="185"/>
      <c r="Z17" s="558" t="s">
        <v>2</v>
      </c>
      <c r="AA17" s="646">
        <v>825</v>
      </c>
      <c r="AB17" s="559">
        <f t="shared" ref="AB17" si="9">V17/W17</f>
        <v>1.0011123470522802</v>
      </c>
      <c r="AC17" s="185"/>
      <c r="AD17" s="605"/>
      <c r="AE17" s="185"/>
      <c r="AF17" s="185"/>
      <c r="AG17" s="560"/>
      <c r="AH17" s="100"/>
      <c r="AI17" s="100"/>
      <c r="AJ17" s="560"/>
      <c r="AK17" s="100"/>
      <c r="AL17" s="100"/>
      <c r="AM17" s="560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</row>
    <row r="18" spans="1:52" s="578" customFormat="1" ht="71.25" hidden="1" outlineLevel="1" x14ac:dyDescent="0.3">
      <c r="A18" s="566"/>
      <c r="B18" s="608" t="s">
        <v>404</v>
      </c>
      <c r="C18" s="700" t="s">
        <v>406</v>
      </c>
      <c r="D18" s="567" t="s">
        <v>324</v>
      </c>
      <c r="E18" s="567" t="s">
        <v>324</v>
      </c>
      <c r="F18" s="567" t="s">
        <v>324</v>
      </c>
      <c r="G18" s="567" t="s">
        <v>324</v>
      </c>
      <c r="H18" s="568" t="s">
        <v>405</v>
      </c>
      <c r="I18" s="569" t="s">
        <v>90</v>
      </c>
      <c r="J18" s="569" t="s">
        <v>90</v>
      </c>
      <c r="K18" s="570" t="s">
        <v>90</v>
      </c>
      <c r="L18" s="570" t="s">
        <v>90</v>
      </c>
      <c r="M18" s="570" t="s">
        <v>90</v>
      </c>
      <c r="N18" s="570" t="s">
        <v>90</v>
      </c>
      <c r="O18" s="570" t="s">
        <v>90</v>
      </c>
      <c r="P18" s="570" t="s">
        <v>90</v>
      </c>
      <c r="Q18" s="570" t="s">
        <v>90</v>
      </c>
      <c r="R18" s="570" t="s">
        <v>90</v>
      </c>
      <c r="S18" s="570" t="s">
        <v>90</v>
      </c>
      <c r="T18" s="570" t="s">
        <v>90</v>
      </c>
      <c r="U18" s="571" t="s">
        <v>3</v>
      </c>
      <c r="V18" s="571" t="s">
        <v>3</v>
      </c>
      <c r="W18" s="572" t="s">
        <v>3</v>
      </c>
      <c r="X18" s="573"/>
      <c r="Y18" s="566"/>
      <c r="Z18" s="574" t="s">
        <v>2</v>
      </c>
      <c r="AA18" s="647" t="str">
        <f t="shared" ref="AA18:AA30" si="10">D18</f>
        <v>/</v>
      </c>
      <c r="AB18" s="575" t="e">
        <f t="shared" si="0"/>
        <v>#VALUE!</v>
      </c>
      <c r="AC18" s="576"/>
      <c r="AD18" s="605"/>
      <c r="AE18" s="566"/>
      <c r="AF18" s="566"/>
      <c r="AG18" s="566"/>
      <c r="AH18" s="577"/>
      <c r="AI18" s="577"/>
      <c r="AJ18" s="566"/>
      <c r="AK18" s="577"/>
      <c r="AL18" s="577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</row>
    <row r="19" spans="1:52" s="49" customFormat="1" ht="18" customHeight="1" collapsed="1" x14ac:dyDescent="0.3">
      <c r="A19" s="99"/>
      <c r="B19" s="608" t="s">
        <v>357</v>
      </c>
      <c r="C19" s="709" t="s">
        <v>641</v>
      </c>
      <c r="D19" s="555" t="s">
        <v>324</v>
      </c>
      <c r="E19" s="200" t="s">
        <v>324</v>
      </c>
      <c r="F19" s="200" t="s">
        <v>324</v>
      </c>
      <c r="G19" s="200" t="s">
        <v>324</v>
      </c>
      <c r="H19" s="201" t="s">
        <v>608</v>
      </c>
      <c r="I19" s="493" t="s">
        <v>90</v>
      </c>
      <c r="J19" s="493" t="s">
        <v>90</v>
      </c>
      <c r="K19" s="266" t="s">
        <v>90</v>
      </c>
      <c r="L19" s="266" t="s">
        <v>90</v>
      </c>
      <c r="M19" s="266" t="s">
        <v>90</v>
      </c>
      <c r="N19" s="266" t="s">
        <v>90</v>
      </c>
      <c r="O19" s="266" t="s">
        <v>90</v>
      </c>
      <c r="P19" s="266" t="s">
        <v>90</v>
      </c>
      <c r="Q19" s="266" t="s">
        <v>90</v>
      </c>
      <c r="R19" s="266" t="s">
        <v>90</v>
      </c>
      <c r="S19" s="266" t="s">
        <v>90</v>
      </c>
      <c r="T19" s="266" t="s">
        <v>90</v>
      </c>
      <c r="U19" s="260" t="s">
        <v>3</v>
      </c>
      <c r="V19" s="260" t="s">
        <v>3</v>
      </c>
      <c r="W19" s="202" t="s">
        <v>3</v>
      </c>
      <c r="X19" s="203" t="s">
        <v>609</v>
      </c>
      <c r="Y19" s="99"/>
      <c r="Z19" s="419" t="s">
        <v>2</v>
      </c>
      <c r="AA19" s="644" t="str">
        <f t="shared" ref="AA19" si="11">D19</f>
        <v>/</v>
      </c>
      <c r="AB19" s="546" t="e">
        <f>V19/W19</f>
        <v>#VALUE!</v>
      </c>
      <c r="AC19" s="418"/>
      <c r="AD19" s="605"/>
      <c r="AE19" s="99"/>
      <c r="AF19" s="99"/>
      <c r="AG19" s="99"/>
      <c r="AH19" s="100"/>
      <c r="AI19" s="100"/>
      <c r="AJ19" s="99"/>
      <c r="AK19" s="100"/>
      <c r="AL19" s="100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</row>
    <row r="20" spans="1:52" s="45" customFormat="1" ht="18" x14ac:dyDescent="0.3">
      <c r="A20" s="98"/>
      <c r="B20" s="608"/>
      <c r="C20" s="709" t="s">
        <v>645</v>
      </c>
      <c r="D20" s="606" t="s">
        <v>336</v>
      </c>
      <c r="E20" s="200" t="s">
        <v>324</v>
      </c>
      <c r="F20" s="200" t="s">
        <v>324</v>
      </c>
      <c r="G20" s="200" t="s">
        <v>324</v>
      </c>
      <c r="H20" s="201" t="s">
        <v>608</v>
      </c>
      <c r="I20" s="493" t="s">
        <v>90</v>
      </c>
      <c r="J20" s="493" t="s">
        <v>90</v>
      </c>
      <c r="K20" s="266" t="s">
        <v>90</v>
      </c>
      <c r="L20" s="266" t="s">
        <v>90</v>
      </c>
      <c r="M20" s="266" t="s">
        <v>90</v>
      </c>
      <c r="N20" s="266" t="s">
        <v>90</v>
      </c>
      <c r="O20" s="266" t="s">
        <v>90</v>
      </c>
      <c r="P20" s="266" t="s">
        <v>90</v>
      </c>
      <c r="Q20" s="266" t="s">
        <v>90</v>
      </c>
      <c r="R20" s="266" t="s">
        <v>90</v>
      </c>
      <c r="S20" s="266" t="s">
        <v>90</v>
      </c>
      <c r="T20" s="266" t="s">
        <v>90</v>
      </c>
      <c r="U20" s="260" t="s">
        <v>3</v>
      </c>
      <c r="V20" s="260" t="s">
        <v>3</v>
      </c>
      <c r="W20" s="202" t="s">
        <v>3</v>
      </c>
      <c r="X20" s="203" t="s">
        <v>609</v>
      </c>
      <c r="Y20" s="98"/>
      <c r="Z20" s="419" t="s">
        <v>2</v>
      </c>
      <c r="AA20" s="644" t="str">
        <f>D20</f>
        <v>+?</v>
      </c>
      <c r="AB20" s="546" t="e">
        <f>V20/W20</f>
        <v>#VALUE!</v>
      </c>
      <c r="AC20" s="418"/>
      <c r="AD20" s="605"/>
      <c r="AE20" s="98"/>
      <c r="AF20" s="98"/>
      <c r="AG20" s="99"/>
      <c r="AH20" s="100"/>
      <c r="AI20" s="100"/>
      <c r="AJ20" s="99"/>
      <c r="AK20" s="100"/>
      <c r="AL20" s="100"/>
      <c r="AM20" s="99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</row>
    <row r="21" spans="1:52" s="49" customFormat="1" ht="18" customHeight="1" x14ac:dyDescent="0.3">
      <c r="A21" s="99"/>
      <c r="B21" s="99"/>
      <c r="C21" s="709" t="s">
        <v>649</v>
      </c>
      <c r="D21" s="606" t="s">
        <v>336</v>
      </c>
      <c r="E21" s="200" t="s">
        <v>324</v>
      </c>
      <c r="F21" s="200" t="s">
        <v>324</v>
      </c>
      <c r="G21" s="200" t="s">
        <v>324</v>
      </c>
      <c r="H21" s="201" t="s">
        <v>608</v>
      </c>
      <c r="I21" s="493" t="s">
        <v>90</v>
      </c>
      <c r="J21" s="493" t="s">
        <v>90</v>
      </c>
      <c r="K21" s="266" t="s">
        <v>90</v>
      </c>
      <c r="L21" s="266" t="s">
        <v>90</v>
      </c>
      <c r="M21" s="266" t="s">
        <v>90</v>
      </c>
      <c r="N21" s="266" t="s">
        <v>90</v>
      </c>
      <c r="O21" s="266" t="s">
        <v>90</v>
      </c>
      <c r="P21" s="266" t="s">
        <v>90</v>
      </c>
      <c r="Q21" s="266" t="s">
        <v>90</v>
      </c>
      <c r="R21" s="266" t="s">
        <v>90</v>
      </c>
      <c r="S21" s="266" t="s">
        <v>90</v>
      </c>
      <c r="T21" s="266" t="s">
        <v>90</v>
      </c>
      <c r="U21" s="260" t="s">
        <v>3</v>
      </c>
      <c r="V21" s="260" t="s">
        <v>3</v>
      </c>
      <c r="W21" s="202" t="s">
        <v>3</v>
      </c>
      <c r="X21" s="203" t="s">
        <v>609</v>
      </c>
      <c r="Y21" s="99"/>
      <c r="Z21" s="419" t="s">
        <v>2</v>
      </c>
      <c r="AA21" s="644" t="str">
        <f t="shared" ref="AA21" si="12">D21</f>
        <v>+?</v>
      </c>
      <c r="AB21" s="546" t="e">
        <f t="shared" ref="AB21" si="13">V21/W21</f>
        <v>#VALUE!</v>
      </c>
      <c r="AC21" s="418"/>
      <c r="AD21" s="605"/>
      <c r="AE21" s="99"/>
      <c r="AF21" s="99"/>
      <c r="AG21" s="99"/>
      <c r="AH21" s="100"/>
      <c r="AI21" s="100"/>
      <c r="AJ21" s="99"/>
      <c r="AK21" s="100"/>
      <c r="AL21" s="100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</row>
    <row r="22" spans="1:52" s="45" customFormat="1" ht="18" x14ac:dyDescent="0.3">
      <c r="A22" s="98"/>
      <c r="B22" s="98"/>
      <c r="C22" s="709" t="s">
        <v>682</v>
      </c>
      <c r="D22" s="200" t="s">
        <v>324</v>
      </c>
      <c r="E22" s="200" t="s">
        <v>324</v>
      </c>
      <c r="F22" s="200" t="s">
        <v>324</v>
      </c>
      <c r="G22" s="200" t="s">
        <v>324</v>
      </c>
      <c r="H22" s="201" t="s">
        <v>608</v>
      </c>
      <c r="I22" s="493" t="s">
        <v>90</v>
      </c>
      <c r="J22" s="493" t="s">
        <v>90</v>
      </c>
      <c r="K22" s="266" t="s">
        <v>90</v>
      </c>
      <c r="L22" s="266" t="s">
        <v>90</v>
      </c>
      <c r="M22" s="266" t="s">
        <v>90</v>
      </c>
      <c r="N22" s="266" t="s">
        <v>90</v>
      </c>
      <c r="O22" s="266" t="s">
        <v>90</v>
      </c>
      <c r="P22" s="266" t="s">
        <v>90</v>
      </c>
      <c r="Q22" s="266" t="s">
        <v>90</v>
      </c>
      <c r="R22" s="266" t="s">
        <v>90</v>
      </c>
      <c r="S22" s="266" t="s">
        <v>90</v>
      </c>
      <c r="T22" s="266" t="s">
        <v>90</v>
      </c>
      <c r="U22" s="260" t="s">
        <v>3</v>
      </c>
      <c r="V22" s="260" t="s">
        <v>3</v>
      </c>
      <c r="W22" s="202" t="s">
        <v>3</v>
      </c>
      <c r="X22" s="203" t="s">
        <v>609</v>
      </c>
      <c r="Y22" s="98"/>
      <c r="Z22" s="419" t="s">
        <v>2</v>
      </c>
      <c r="AA22" s="644" t="str">
        <f>D22</f>
        <v>/</v>
      </c>
      <c r="AB22" s="546" t="e">
        <f>V22/W22</f>
        <v>#VALUE!</v>
      </c>
      <c r="AC22" s="418"/>
      <c r="AD22" s="605"/>
      <c r="AE22" s="98"/>
      <c r="AF22" s="98"/>
      <c r="AG22" s="99"/>
      <c r="AH22" s="100"/>
      <c r="AI22" s="100"/>
      <c r="AJ22" s="99"/>
      <c r="AK22" s="100"/>
      <c r="AL22" s="100"/>
      <c r="AM22" s="99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</row>
    <row r="23" spans="1:52" s="49" customFormat="1" ht="18" customHeight="1" x14ac:dyDescent="0.3">
      <c r="A23" s="99"/>
      <c r="B23" s="99"/>
      <c r="C23" s="709" t="s">
        <v>684</v>
      </c>
      <c r="D23" s="200" t="s">
        <v>324</v>
      </c>
      <c r="E23" s="200" t="s">
        <v>324</v>
      </c>
      <c r="F23" s="200" t="s">
        <v>324</v>
      </c>
      <c r="G23" s="200" t="s">
        <v>324</v>
      </c>
      <c r="H23" s="436" t="s">
        <v>608</v>
      </c>
      <c r="I23" s="493" t="s">
        <v>90</v>
      </c>
      <c r="J23" s="493" t="s">
        <v>90</v>
      </c>
      <c r="K23" s="266" t="s">
        <v>90</v>
      </c>
      <c r="L23" s="266" t="s">
        <v>90</v>
      </c>
      <c r="M23" s="266" t="s">
        <v>90</v>
      </c>
      <c r="N23" s="266" t="s">
        <v>90</v>
      </c>
      <c r="O23" s="266" t="s">
        <v>90</v>
      </c>
      <c r="P23" s="266" t="s">
        <v>90</v>
      </c>
      <c r="Q23" s="266" t="s">
        <v>90</v>
      </c>
      <c r="R23" s="266" t="s">
        <v>90</v>
      </c>
      <c r="S23" s="266" t="s">
        <v>90</v>
      </c>
      <c r="T23" s="266" t="s">
        <v>90</v>
      </c>
      <c r="U23" s="260" t="s">
        <v>3</v>
      </c>
      <c r="V23" s="260" t="s">
        <v>3</v>
      </c>
      <c r="W23" s="202" t="s">
        <v>3</v>
      </c>
      <c r="X23" s="203" t="s">
        <v>609</v>
      </c>
      <c r="Y23" s="99"/>
      <c r="Z23" s="419" t="s">
        <v>2</v>
      </c>
      <c r="AA23" s="644" t="str">
        <f>D23</f>
        <v>/</v>
      </c>
      <c r="AB23" s="546" t="e">
        <f>V23/W23</f>
        <v>#VALUE!</v>
      </c>
      <c r="AC23" s="418"/>
      <c r="AD23" s="605"/>
      <c r="AE23" s="99"/>
      <c r="AF23" s="99"/>
      <c r="AG23" s="99"/>
      <c r="AH23" s="100"/>
      <c r="AI23" s="100"/>
      <c r="AJ23" s="99"/>
      <c r="AK23" s="100"/>
      <c r="AL23" s="100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</row>
    <row r="24" spans="1:52" s="45" customFormat="1" ht="18" collapsed="1" x14ac:dyDescent="0.3">
      <c r="A24" s="98"/>
      <c r="B24" s="608"/>
      <c r="C24" s="709" t="s">
        <v>639</v>
      </c>
      <c r="D24" s="200" t="s">
        <v>324</v>
      </c>
      <c r="E24" s="200" t="s">
        <v>324</v>
      </c>
      <c r="F24" s="200" t="s">
        <v>324</v>
      </c>
      <c r="G24" s="200" t="s">
        <v>324</v>
      </c>
      <c r="H24" s="201" t="s">
        <v>608</v>
      </c>
      <c r="I24" s="493" t="s">
        <v>90</v>
      </c>
      <c r="J24" s="493" t="s">
        <v>90</v>
      </c>
      <c r="K24" s="266" t="s">
        <v>90</v>
      </c>
      <c r="L24" s="266" t="s">
        <v>90</v>
      </c>
      <c r="M24" s="266" t="s">
        <v>90</v>
      </c>
      <c r="N24" s="266" t="s">
        <v>90</v>
      </c>
      <c r="O24" s="266" t="s">
        <v>90</v>
      </c>
      <c r="P24" s="266" t="s">
        <v>90</v>
      </c>
      <c r="Q24" s="266" t="s">
        <v>90</v>
      </c>
      <c r="R24" s="266" t="s">
        <v>90</v>
      </c>
      <c r="S24" s="266" t="s">
        <v>90</v>
      </c>
      <c r="T24" s="266" t="s">
        <v>90</v>
      </c>
      <c r="U24" s="260" t="s">
        <v>3</v>
      </c>
      <c r="V24" s="260" t="s">
        <v>3</v>
      </c>
      <c r="W24" s="202" t="s">
        <v>3</v>
      </c>
      <c r="X24" s="203" t="s">
        <v>609</v>
      </c>
      <c r="Y24" s="98"/>
      <c r="Z24" s="419" t="s">
        <v>2</v>
      </c>
      <c r="AA24" s="644" t="str">
        <f>D24</f>
        <v>/</v>
      </c>
      <c r="AB24" s="546" t="e">
        <f>V24/W24</f>
        <v>#VALUE!</v>
      </c>
      <c r="AC24" s="418"/>
      <c r="AD24" s="605"/>
      <c r="AE24" s="98"/>
      <c r="AF24" s="98"/>
      <c r="AG24" s="99"/>
      <c r="AH24" s="100"/>
      <c r="AI24" s="100"/>
      <c r="AJ24" s="99"/>
      <c r="AK24" s="100"/>
      <c r="AL24" s="100"/>
      <c r="AM24" s="99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</row>
    <row r="25" spans="1:52" s="45" customFormat="1" ht="18" x14ac:dyDescent="0.3">
      <c r="A25" s="98"/>
      <c r="B25" s="98"/>
      <c r="C25" s="709" t="s">
        <v>643</v>
      </c>
      <c r="D25" s="200" t="s">
        <v>324</v>
      </c>
      <c r="E25" s="200" t="s">
        <v>324</v>
      </c>
      <c r="F25" s="200" t="s">
        <v>324</v>
      </c>
      <c r="G25" s="200" t="s">
        <v>324</v>
      </c>
      <c r="H25" s="201" t="s">
        <v>608</v>
      </c>
      <c r="I25" s="493" t="s">
        <v>90</v>
      </c>
      <c r="J25" s="493" t="s">
        <v>90</v>
      </c>
      <c r="K25" s="266" t="s">
        <v>90</v>
      </c>
      <c r="L25" s="266" t="s">
        <v>90</v>
      </c>
      <c r="M25" s="266" t="s">
        <v>90</v>
      </c>
      <c r="N25" s="266" t="s">
        <v>90</v>
      </c>
      <c r="O25" s="266" t="s">
        <v>90</v>
      </c>
      <c r="P25" s="266" t="s">
        <v>90</v>
      </c>
      <c r="Q25" s="266" t="s">
        <v>90</v>
      </c>
      <c r="R25" s="266" t="s">
        <v>90</v>
      </c>
      <c r="S25" s="266" t="s">
        <v>90</v>
      </c>
      <c r="T25" s="266" t="s">
        <v>90</v>
      </c>
      <c r="U25" s="260" t="s">
        <v>3</v>
      </c>
      <c r="V25" s="260" t="s">
        <v>3</v>
      </c>
      <c r="W25" s="202" t="s">
        <v>3</v>
      </c>
      <c r="X25" s="203" t="s">
        <v>609</v>
      </c>
      <c r="Y25" s="98"/>
      <c r="Z25" s="419" t="s">
        <v>2</v>
      </c>
      <c r="AA25" s="644" t="str">
        <f t="shared" ref="AA25" si="14">D25</f>
        <v>/</v>
      </c>
      <c r="AB25" s="546" t="e">
        <f>V25/W25</f>
        <v>#VALUE!</v>
      </c>
      <c r="AC25" s="418"/>
      <c r="AD25" s="605"/>
      <c r="AE25" s="98"/>
      <c r="AF25" s="98"/>
      <c r="AG25" s="99"/>
      <c r="AH25" s="100"/>
      <c r="AI25" s="100"/>
      <c r="AJ25" s="99"/>
      <c r="AK25" s="100"/>
      <c r="AL25" s="100"/>
      <c r="AM25" s="99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</row>
    <row r="26" spans="1:52" s="45" customFormat="1" ht="18" x14ac:dyDescent="0.3">
      <c r="A26" s="98"/>
      <c r="B26" s="98"/>
      <c r="C26" s="709" t="s">
        <v>647</v>
      </c>
      <c r="D26" s="606" t="s">
        <v>336</v>
      </c>
      <c r="E26" s="200" t="s">
        <v>324</v>
      </c>
      <c r="F26" s="200" t="s">
        <v>324</v>
      </c>
      <c r="G26" s="200" t="s">
        <v>324</v>
      </c>
      <c r="H26" s="201" t="s">
        <v>608</v>
      </c>
      <c r="I26" s="493" t="s">
        <v>90</v>
      </c>
      <c r="J26" s="493" t="s">
        <v>90</v>
      </c>
      <c r="K26" s="266" t="s">
        <v>90</v>
      </c>
      <c r="L26" s="266" t="s">
        <v>90</v>
      </c>
      <c r="M26" s="266" t="s">
        <v>90</v>
      </c>
      <c r="N26" s="266" t="s">
        <v>90</v>
      </c>
      <c r="O26" s="266" t="s">
        <v>90</v>
      </c>
      <c r="P26" s="266" t="s">
        <v>90</v>
      </c>
      <c r="Q26" s="266" t="s">
        <v>90</v>
      </c>
      <c r="R26" s="266" t="s">
        <v>90</v>
      </c>
      <c r="S26" s="266" t="s">
        <v>90</v>
      </c>
      <c r="T26" s="266" t="s">
        <v>90</v>
      </c>
      <c r="U26" s="260" t="s">
        <v>3</v>
      </c>
      <c r="V26" s="260" t="s">
        <v>3</v>
      </c>
      <c r="W26" s="202" t="s">
        <v>3</v>
      </c>
      <c r="X26" s="203" t="s">
        <v>609</v>
      </c>
      <c r="Y26" s="98"/>
      <c r="Z26" s="419" t="s">
        <v>2</v>
      </c>
      <c r="AA26" s="644" t="str">
        <f>D26</f>
        <v>+?</v>
      </c>
      <c r="AB26" s="546" t="e">
        <f t="shared" ref="AB26" si="15">V26/W26</f>
        <v>#VALUE!</v>
      </c>
      <c r="AC26" s="418"/>
      <c r="AD26" s="605"/>
      <c r="AE26" s="98"/>
      <c r="AF26" s="98"/>
      <c r="AG26" s="99"/>
      <c r="AH26" s="100"/>
      <c r="AI26" s="100"/>
      <c r="AJ26" s="99"/>
      <c r="AK26" s="100"/>
      <c r="AL26" s="100"/>
      <c r="AM26" s="99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</row>
    <row r="27" spans="1:52" s="45" customFormat="1" ht="18" x14ac:dyDescent="0.3">
      <c r="A27" s="98"/>
      <c r="B27" s="98"/>
      <c r="C27" s="709" t="s">
        <v>651</v>
      </c>
      <c r="D27" s="606" t="s">
        <v>336</v>
      </c>
      <c r="E27" s="200" t="s">
        <v>324</v>
      </c>
      <c r="F27" s="200" t="s">
        <v>324</v>
      </c>
      <c r="G27" s="200" t="s">
        <v>324</v>
      </c>
      <c r="H27" s="201" t="s">
        <v>608</v>
      </c>
      <c r="I27" s="493" t="s">
        <v>90</v>
      </c>
      <c r="J27" s="493" t="s">
        <v>90</v>
      </c>
      <c r="K27" s="266" t="s">
        <v>90</v>
      </c>
      <c r="L27" s="266" t="s">
        <v>90</v>
      </c>
      <c r="M27" s="266" t="s">
        <v>90</v>
      </c>
      <c r="N27" s="266" t="s">
        <v>90</v>
      </c>
      <c r="O27" s="266" t="s">
        <v>90</v>
      </c>
      <c r="P27" s="266" t="s">
        <v>90</v>
      </c>
      <c r="Q27" s="266" t="s">
        <v>90</v>
      </c>
      <c r="R27" s="266" t="s">
        <v>90</v>
      </c>
      <c r="S27" s="266" t="s">
        <v>90</v>
      </c>
      <c r="T27" s="266" t="s">
        <v>90</v>
      </c>
      <c r="U27" s="260" t="s">
        <v>3</v>
      </c>
      <c r="V27" s="260" t="s">
        <v>3</v>
      </c>
      <c r="W27" s="202" t="s">
        <v>3</v>
      </c>
      <c r="X27" s="203" t="s">
        <v>609</v>
      </c>
      <c r="Y27" s="98"/>
      <c r="Z27" s="419" t="s">
        <v>2</v>
      </c>
      <c r="AA27" s="644" t="str">
        <f t="shared" ref="AA27" si="16">D27</f>
        <v>+?</v>
      </c>
      <c r="AB27" s="546" t="e">
        <f t="shared" ref="AB27" si="17">V27/W27</f>
        <v>#VALUE!</v>
      </c>
      <c r="AC27" s="418"/>
      <c r="AD27" s="605"/>
      <c r="AE27" s="98"/>
      <c r="AF27" s="98"/>
      <c r="AG27" s="99"/>
      <c r="AH27" s="100"/>
      <c r="AI27" s="100"/>
      <c r="AJ27" s="99"/>
      <c r="AK27" s="100"/>
      <c r="AL27" s="100"/>
      <c r="AM27" s="99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</row>
    <row r="28" spans="1:52" s="49" customFormat="1" ht="18" customHeight="1" x14ac:dyDescent="0.3">
      <c r="A28" s="99"/>
      <c r="B28" s="99"/>
      <c r="C28" s="709" t="s">
        <v>680</v>
      </c>
      <c r="D28" s="200" t="s">
        <v>324</v>
      </c>
      <c r="E28" s="200" t="s">
        <v>324</v>
      </c>
      <c r="F28" s="200" t="s">
        <v>324</v>
      </c>
      <c r="G28" s="200" t="s">
        <v>324</v>
      </c>
      <c r="H28" s="436" t="s">
        <v>608</v>
      </c>
      <c r="I28" s="493" t="s">
        <v>90</v>
      </c>
      <c r="J28" s="493" t="s">
        <v>90</v>
      </c>
      <c r="K28" s="266" t="s">
        <v>90</v>
      </c>
      <c r="L28" s="266" t="s">
        <v>90</v>
      </c>
      <c r="M28" s="266" t="s">
        <v>90</v>
      </c>
      <c r="N28" s="266" t="s">
        <v>90</v>
      </c>
      <c r="O28" s="266" t="s">
        <v>90</v>
      </c>
      <c r="P28" s="266" t="s">
        <v>90</v>
      </c>
      <c r="Q28" s="266" t="s">
        <v>90</v>
      </c>
      <c r="R28" s="266" t="s">
        <v>90</v>
      </c>
      <c r="S28" s="266" t="s">
        <v>90</v>
      </c>
      <c r="T28" s="266" t="s">
        <v>90</v>
      </c>
      <c r="U28" s="260" t="s">
        <v>3</v>
      </c>
      <c r="V28" s="260" t="s">
        <v>3</v>
      </c>
      <c r="W28" s="202" t="s">
        <v>3</v>
      </c>
      <c r="X28" s="203" t="s">
        <v>609</v>
      </c>
      <c r="Y28" s="99"/>
      <c r="Z28" s="419" t="s">
        <v>2</v>
      </c>
      <c r="AA28" s="644" t="str">
        <f t="shared" ref="AA28" si="18">D28</f>
        <v>/</v>
      </c>
      <c r="AB28" s="546" t="e">
        <f t="shared" ref="AB28" si="19">V28/W28</f>
        <v>#VALUE!</v>
      </c>
      <c r="AC28" s="418"/>
      <c r="AD28" s="605"/>
      <c r="AE28" s="99"/>
      <c r="AF28" s="99"/>
      <c r="AG28" s="99"/>
      <c r="AH28" s="100"/>
      <c r="AI28" s="100"/>
      <c r="AJ28" s="99"/>
      <c r="AK28" s="100"/>
      <c r="AL28" s="100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</row>
    <row r="29" spans="1:52" s="45" customFormat="1" ht="18" x14ac:dyDescent="0.3">
      <c r="A29" s="98"/>
      <c r="B29" s="608"/>
      <c r="C29" s="709" t="s">
        <v>637</v>
      </c>
      <c r="D29" s="200" t="s">
        <v>324</v>
      </c>
      <c r="E29" s="200" t="s">
        <v>324</v>
      </c>
      <c r="F29" s="200" t="s">
        <v>324</v>
      </c>
      <c r="G29" s="200" t="s">
        <v>324</v>
      </c>
      <c r="H29" s="201" t="s">
        <v>608</v>
      </c>
      <c r="I29" s="493" t="s">
        <v>90</v>
      </c>
      <c r="J29" s="493" t="s">
        <v>90</v>
      </c>
      <c r="K29" s="266" t="s">
        <v>90</v>
      </c>
      <c r="L29" s="266" t="s">
        <v>90</v>
      </c>
      <c r="M29" s="266" t="s">
        <v>90</v>
      </c>
      <c r="N29" s="266" t="s">
        <v>90</v>
      </c>
      <c r="O29" s="266" t="s">
        <v>90</v>
      </c>
      <c r="P29" s="266" t="s">
        <v>90</v>
      </c>
      <c r="Q29" s="266" t="s">
        <v>90</v>
      </c>
      <c r="R29" s="266" t="s">
        <v>90</v>
      </c>
      <c r="S29" s="266" t="s">
        <v>90</v>
      </c>
      <c r="T29" s="266" t="s">
        <v>90</v>
      </c>
      <c r="U29" s="260" t="s">
        <v>3</v>
      </c>
      <c r="V29" s="260" t="s">
        <v>3</v>
      </c>
      <c r="W29" s="202" t="s">
        <v>3</v>
      </c>
      <c r="X29" s="203" t="s">
        <v>609</v>
      </c>
      <c r="Y29" s="98"/>
      <c r="Z29" s="419" t="s">
        <v>2</v>
      </c>
      <c r="AA29" s="644" t="str">
        <f>D29</f>
        <v>/</v>
      </c>
      <c r="AB29" s="546" t="e">
        <f t="shared" ref="AB29" si="20">V29/W29</f>
        <v>#VALUE!</v>
      </c>
      <c r="AC29" s="418"/>
      <c r="AD29" s="605"/>
      <c r="AE29" s="98"/>
      <c r="AF29" s="98"/>
      <c r="AG29" s="99"/>
      <c r="AH29" s="100"/>
      <c r="AI29" s="100"/>
      <c r="AJ29" s="99"/>
      <c r="AK29" s="100"/>
      <c r="AL29" s="100"/>
      <c r="AM29" s="99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</row>
    <row r="30" spans="1:52" s="49" customFormat="1" ht="18" customHeight="1" x14ac:dyDescent="0.3">
      <c r="A30" s="99"/>
      <c r="B30" s="608"/>
      <c r="C30" s="709" t="s">
        <v>638</v>
      </c>
      <c r="D30" s="555" t="s">
        <v>324</v>
      </c>
      <c r="E30" s="200" t="s">
        <v>324</v>
      </c>
      <c r="F30" s="200" t="s">
        <v>324</v>
      </c>
      <c r="G30" s="200" t="s">
        <v>324</v>
      </c>
      <c r="H30" s="201" t="s">
        <v>608</v>
      </c>
      <c r="I30" s="493" t="s">
        <v>90</v>
      </c>
      <c r="J30" s="493" t="s">
        <v>90</v>
      </c>
      <c r="K30" s="266" t="s">
        <v>90</v>
      </c>
      <c r="L30" s="266" t="s">
        <v>90</v>
      </c>
      <c r="M30" s="266" t="s">
        <v>90</v>
      </c>
      <c r="N30" s="266" t="s">
        <v>90</v>
      </c>
      <c r="O30" s="266" t="s">
        <v>90</v>
      </c>
      <c r="P30" s="266" t="s">
        <v>90</v>
      </c>
      <c r="Q30" s="266" t="s">
        <v>90</v>
      </c>
      <c r="R30" s="266" t="s">
        <v>90</v>
      </c>
      <c r="S30" s="266" t="s">
        <v>90</v>
      </c>
      <c r="T30" s="266" t="s">
        <v>90</v>
      </c>
      <c r="U30" s="260" t="s">
        <v>3</v>
      </c>
      <c r="V30" s="260" t="s">
        <v>3</v>
      </c>
      <c r="W30" s="202" t="s">
        <v>3</v>
      </c>
      <c r="X30" s="203" t="s">
        <v>609</v>
      </c>
      <c r="Y30" s="99"/>
      <c r="Z30" s="419" t="s">
        <v>2</v>
      </c>
      <c r="AA30" s="644" t="str">
        <f t="shared" si="10"/>
        <v>/</v>
      </c>
      <c r="AB30" s="546" t="e">
        <f t="shared" si="0"/>
        <v>#VALUE!</v>
      </c>
      <c r="AC30" s="418"/>
      <c r="AD30" s="605"/>
      <c r="AE30" s="99"/>
      <c r="AF30" s="99"/>
      <c r="AG30" s="99"/>
      <c r="AH30" s="100"/>
      <c r="AI30" s="100"/>
      <c r="AJ30" s="99"/>
      <c r="AK30" s="100"/>
      <c r="AL30" s="100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</row>
    <row r="31" spans="1:52" s="49" customFormat="1" ht="18" customHeight="1" x14ac:dyDescent="0.3">
      <c r="A31" s="99"/>
      <c r="B31" s="99"/>
      <c r="C31" s="709" t="s">
        <v>640</v>
      </c>
      <c r="D31" s="555" t="s">
        <v>324</v>
      </c>
      <c r="E31" s="200" t="s">
        <v>324</v>
      </c>
      <c r="F31" s="200" t="s">
        <v>324</v>
      </c>
      <c r="G31" s="200" t="s">
        <v>324</v>
      </c>
      <c r="H31" s="201" t="s">
        <v>608</v>
      </c>
      <c r="I31" s="493" t="s">
        <v>90</v>
      </c>
      <c r="J31" s="493" t="s">
        <v>90</v>
      </c>
      <c r="K31" s="266" t="s">
        <v>90</v>
      </c>
      <c r="L31" s="266" t="s">
        <v>90</v>
      </c>
      <c r="M31" s="266" t="s">
        <v>90</v>
      </c>
      <c r="N31" s="266" t="s">
        <v>90</v>
      </c>
      <c r="O31" s="266" t="s">
        <v>90</v>
      </c>
      <c r="P31" s="266" t="s">
        <v>90</v>
      </c>
      <c r="Q31" s="266" t="s">
        <v>90</v>
      </c>
      <c r="R31" s="266" t="s">
        <v>90</v>
      </c>
      <c r="S31" s="266" t="s">
        <v>90</v>
      </c>
      <c r="T31" s="266" t="s">
        <v>90</v>
      </c>
      <c r="U31" s="260" t="s">
        <v>3</v>
      </c>
      <c r="V31" s="260" t="s">
        <v>3</v>
      </c>
      <c r="W31" s="202" t="s">
        <v>3</v>
      </c>
      <c r="X31" s="203" t="s">
        <v>609</v>
      </c>
      <c r="Y31" s="99"/>
      <c r="Z31" s="419" t="s">
        <v>2</v>
      </c>
      <c r="AA31" s="644" t="str">
        <f t="shared" ref="AA31" si="21">D31</f>
        <v>/</v>
      </c>
      <c r="AB31" s="546" t="e">
        <f>V31/W31</f>
        <v>#VALUE!</v>
      </c>
      <c r="AC31" s="418"/>
      <c r="AD31" s="605"/>
      <c r="AE31" s="99"/>
      <c r="AF31" s="99"/>
      <c r="AG31" s="99"/>
      <c r="AH31" s="100"/>
      <c r="AI31" s="100"/>
      <c r="AJ31" s="99"/>
      <c r="AK31" s="100"/>
      <c r="AL31" s="100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</row>
    <row r="32" spans="1:52" s="45" customFormat="1" ht="18" x14ac:dyDescent="0.3">
      <c r="A32" s="98"/>
      <c r="B32" s="98"/>
      <c r="C32" s="709" t="s">
        <v>642</v>
      </c>
      <c r="D32" s="200" t="s">
        <v>324</v>
      </c>
      <c r="E32" s="200" t="s">
        <v>324</v>
      </c>
      <c r="F32" s="200" t="s">
        <v>324</v>
      </c>
      <c r="G32" s="200" t="s">
        <v>324</v>
      </c>
      <c r="H32" s="201" t="s">
        <v>608</v>
      </c>
      <c r="I32" s="493" t="s">
        <v>90</v>
      </c>
      <c r="J32" s="493" t="s">
        <v>90</v>
      </c>
      <c r="K32" s="266" t="s">
        <v>90</v>
      </c>
      <c r="L32" s="266" t="s">
        <v>90</v>
      </c>
      <c r="M32" s="266" t="s">
        <v>90</v>
      </c>
      <c r="N32" s="266" t="s">
        <v>90</v>
      </c>
      <c r="O32" s="266" t="s">
        <v>90</v>
      </c>
      <c r="P32" s="266" t="s">
        <v>90</v>
      </c>
      <c r="Q32" s="266" t="s">
        <v>90</v>
      </c>
      <c r="R32" s="266" t="s">
        <v>90</v>
      </c>
      <c r="S32" s="266" t="s">
        <v>90</v>
      </c>
      <c r="T32" s="266" t="s">
        <v>90</v>
      </c>
      <c r="U32" s="260" t="s">
        <v>3</v>
      </c>
      <c r="V32" s="260" t="s">
        <v>3</v>
      </c>
      <c r="W32" s="202" t="s">
        <v>3</v>
      </c>
      <c r="X32" s="203" t="s">
        <v>609</v>
      </c>
      <c r="Y32" s="98"/>
      <c r="Z32" s="419" t="s">
        <v>2</v>
      </c>
      <c r="AA32" s="644" t="str">
        <f t="shared" ref="AA32" si="22">D32</f>
        <v>/</v>
      </c>
      <c r="AB32" s="546" t="e">
        <f>V32/W32</f>
        <v>#VALUE!</v>
      </c>
      <c r="AC32" s="418"/>
      <c r="AD32" s="605"/>
      <c r="AE32" s="98"/>
      <c r="AF32" s="98"/>
      <c r="AG32" s="99"/>
      <c r="AH32" s="100"/>
      <c r="AI32" s="100"/>
      <c r="AJ32" s="99"/>
      <c r="AK32" s="100"/>
      <c r="AL32" s="100"/>
      <c r="AM32" s="99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</row>
    <row r="33" spans="1:52" s="49" customFormat="1" ht="18" customHeight="1" x14ac:dyDescent="0.3">
      <c r="A33" s="99"/>
      <c r="B33" s="608"/>
      <c r="C33" s="709" t="s">
        <v>644</v>
      </c>
      <c r="D33" s="555" t="s">
        <v>324</v>
      </c>
      <c r="E33" s="200" t="s">
        <v>324</v>
      </c>
      <c r="F33" s="200" t="s">
        <v>324</v>
      </c>
      <c r="G33" s="200" t="s">
        <v>324</v>
      </c>
      <c r="H33" s="201" t="s">
        <v>608</v>
      </c>
      <c r="I33" s="493" t="s">
        <v>90</v>
      </c>
      <c r="J33" s="493" t="s">
        <v>90</v>
      </c>
      <c r="K33" s="266" t="s">
        <v>90</v>
      </c>
      <c r="L33" s="266" t="s">
        <v>90</v>
      </c>
      <c r="M33" s="266" t="s">
        <v>90</v>
      </c>
      <c r="N33" s="266" t="s">
        <v>90</v>
      </c>
      <c r="O33" s="266" t="s">
        <v>90</v>
      </c>
      <c r="P33" s="266" t="s">
        <v>90</v>
      </c>
      <c r="Q33" s="266" t="s">
        <v>90</v>
      </c>
      <c r="R33" s="266" t="s">
        <v>90</v>
      </c>
      <c r="S33" s="266" t="s">
        <v>90</v>
      </c>
      <c r="T33" s="266" t="s">
        <v>90</v>
      </c>
      <c r="U33" s="260" t="s">
        <v>3</v>
      </c>
      <c r="V33" s="260" t="s">
        <v>3</v>
      </c>
      <c r="W33" s="202" t="s">
        <v>3</v>
      </c>
      <c r="X33" s="203" t="s">
        <v>609</v>
      </c>
      <c r="Y33" s="99"/>
      <c r="Z33" s="419" t="s">
        <v>2</v>
      </c>
      <c r="AA33" s="644" t="str">
        <f t="shared" ref="AA33" si="23">D33</f>
        <v>/</v>
      </c>
      <c r="AB33" s="546" t="e">
        <f t="shared" ref="AB33" si="24">V33/W33</f>
        <v>#VALUE!</v>
      </c>
      <c r="AC33" s="418"/>
      <c r="AD33" s="605"/>
      <c r="AE33" s="99"/>
      <c r="AF33" s="99"/>
      <c r="AG33" s="99"/>
      <c r="AH33" s="100"/>
      <c r="AI33" s="100"/>
      <c r="AJ33" s="99"/>
      <c r="AK33" s="100"/>
      <c r="AL33" s="100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</row>
    <row r="34" spans="1:52" s="45" customFormat="1" ht="18" x14ac:dyDescent="0.3">
      <c r="A34" s="98"/>
      <c r="B34" s="98"/>
      <c r="C34" s="709" t="s">
        <v>646</v>
      </c>
      <c r="D34" s="606" t="s">
        <v>336</v>
      </c>
      <c r="E34" s="200" t="s">
        <v>324</v>
      </c>
      <c r="F34" s="200" t="s">
        <v>324</v>
      </c>
      <c r="G34" s="200" t="s">
        <v>324</v>
      </c>
      <c r="H34" s="201" t="s">
        <v>608</v>
      </c>
      <c r="I34" s="493" t="s">
        <v>90</v>
      </c>
      <c r="J34" s="493" t="s">
        <v>90</v>
      </c>
      <c r="K34" s="266" t="s">
        <v>90</v>
      </c>
      <c r="L34" s="266" t="s">
        <v>90</v>
      </c>
      <c r="M34" s="266" t="s">
        <v>90</v>
      </c>
      <c r="N34" s="266" t="s">
        <v>90</v>
      </c>
      <c r="O34" s="266" t="s">
        <v>90</v>
      </c>
      <c r="P34" s="266" t="s">
        <v>90</v>
      </c>
      <c r="Q34" s="266" t="s">
        <v>90</v>
      </c>
      <c r="R34" s="266" t="s">
        <v>90</v>
      </c>
      <c r="S34" s="266" t="s">
        <v>90</v>
      </c>
      <c r="T34" s="266" t="s">
        <v>90</v>
      </c>
      <c r="U34" s="260" t="s">
        <v>3</v>
      </c>
      <c r="V34" s="260" t="s">
        <v>3</v>
      </c>
      <c r="W34" s="202" t="s">
        <v>3</v>
      </c>
      <c r="X34" s="203" t="s">
        <v>609</v>
      </c>
      <c r="Y34" s="98"/>
      <c r="Z34" s="419" t="s">
        <v>2</v>
      </c>
      <c r="AA34" s="644" t="str">
        <f>D34</f>
        <v>+?</v>
      </c>
      <c r="AB34" s="546" t="e">
        <f t="shared" ref="AB34" si="25">V34/W34</f>
        <v>#VALUE!</v>
      </c>
      <c r="AC34" s="418"/>
      <c r="AD34" s="605"/>
      <c r="AE34" s="98"/>
      <c r="AF34" s="98"/>
      <c r="AG34" s="99"/>
      <c r="AH34" s="100"/>
      <c r="AI34" s="100"/>
      <c r="AJ34" s="99"/>
      <c r="AK34" s="100"/>
      <c r="AL34" s="100"/>
      <c r="AM34" s="99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</row>
    <row r="35" spans="1:52" s="49" customFormat="1" ht="18" customHeight="1" x14ac:dyDescent="0.3">
      <c r="A35" s="99"/>
      <c r="B35" s="99"/>
      <c r="C35" s="709" t="s">
        <v>650</v>
      </c>
      <c r="D35" s="606" t="s">
        <v>336</v>
      </c>
      <c r="E35" s="200" t="s">
        <v>324</v>
      </c>
      <c r="F35" s="200" t="s">
        <v>324</v>
      </c>
      <c r="G35" s="200" t="s">
        <v>324</v>
      </c>
      <c r="H35" s="201" t="s">
        <v>608</v>
      </c>
      <c r="I35" s="493" t="s">
        <v>90</v>
      </c>
      <c r="J35" s="493" t="s">
        <v>90</v>
      </c>
      <c r="K35" s="266" t="s">
        <v>90</v>
      </c>
      <c r="L35" s="266" t="s">
        <v>90</v>
      </c>
      <c r="M35" s="266" t="s">
        <v>90</v>
      </c>
      <c r="N35" s="266" t="s">
        <v>90</v>
      </c>
      <c r="O35" s="266" t="s">
        <v>90</v>
      </c>
      <c r="P35" s="266" t="s">
        <v>90</v>
      </c>
      <c r="Q35" s="266" t="s">
        <v>90</v>
      </c>
      <c r="R35" s="266" t="s">
        <v>90</v>
      </c>
      <c r="S35" s="266" t="s">
        <v>90</v>
      </c>
      <c r="T35" s="266" t="s">
        <v>90</v>
      </c>
      <c r="U35" s="260" t="s">
        <v>3</v>
      </c>
      <c r="V35" s="260" t="s">
        <v>3</v>
      </c>
      <c r="W35" s="202" t="s">
        <v>3</v>
      </c>
      <c r="X35" s="203" t="s">
        <v>609</v>
      </c>
      <c r="Y35" s="99"/>
      <c r="Z35" s="419" t="s">
        <v>2</v>
      </c>
      <c r="AA35" s="644" t="str">
        <f t="shared" ref="AA35" si="26">D35</f>
        <v>+?</v>
      </c>
      <c r="AB35" s="546" t="e">
        <f t="shared" ref="AB35" si="27">V35/W35</f>
        <v>#VALUE!</v>
      </c>
      <c r="AC35" s="418"/>
      <c r="AD35" s="605"/>
      <c r="AE35" s="99"/>
      <c r="AF35" s="99"/>
      <c r="AG35" s="99"/>
      <c r="AH35" s="100"/>
      <c r="AI35" s="100"/>
      <c r="AJ35" s="99"/>
      <c r="AK35" s="100"/>
      <c r="AL35" s="100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</row>
    <row r="36" spans="1:52" s="49" customFormat="1" ht="18" customHeight="1" x14ac:dyDescent="0.3">
      <c r="A36" s="99"/>
      <c r="B36" s="99"/>
      <c r="C36" s="709" t="s">
        <v>681</v>
      </c>
      <c r="D36" s="200" t="s">
        <v>324</v>
      </c>
      <c r="E36" s="200" t="s">
        <v>324</v>
      </c>
      <c r="F36" s="200" t="s">
        <v>324</v>
      </c>
      <c r="G36" s="200" t="s">
        <v>324</v>
      </c>
      <c r="H36" s="201" t="s">
        <v>608</v>
      </c>
      <c r="I36" s="493" t="s">
        <v>90</v>
      </c>
      <c r="J36" s="493" t="s">
        <v>90</v>
      </c>
      <c r="K36" s="266" t="s">
        <v>90</v>
      </c>
      <c r="L36" s="266" t="s">
        <v>90</v>
      </c>
      <c r="M36" s="266" t="s">
        <v>90</v>
      </c>
      <c r="N36" s="266" t="s">
        <v>90</v>
      </c>
      <c r="O36" s="266" t="s">
        <v>90</v>
      </c>
      <c r="P36" s="266" t="s">
        <v>90</v>
      </c>
      <c r="Q36" s="266" t="s">
        <v>90</v>
      </c>
      <c r="R36" s="266" t="s">
        <v>90</v>
      </c>
      <c r="S36" s="266" t="s">
        <v>90</v>
      </c>
      <c r="T36" s="266" t="s">
        <v>90</v>
      </c>
      <c r="U36" s="260" t="s">
        <v>3</v>
      </c>
      <c r="V36" s="260" t="s">
        <v>3</v>
      </c>
      <c r="W36" s="202" t="s">
        <v>3</v>
      </c>
      <c r="X36" s="203" t="s">
        <v>609</v>
      </c>
      <c r="Y36" s="99"/>
      <c r="Z36" s="419" t="s">
        <v>2</v>
      </c>
      <c r="AA36" s="644" t="str">
        <f>D36</f>
        <v>/</v>
      </c>
      <c r="AB36" s="546" t="e">
        <f>V36/W36</f>
        <v>#VALUE!</v>
      </c>
      <c r="AC36" s="418"/>
      <c r="AD36" s="605"/>
      <c r="AE36" s="99"/>
      <c r="AF36" s="99"/>
      <c r="AG36" s="99"/>
      <c r="AH36" s="100"/>
      <c r="AI36" s="100"/>
      <c r="AJ36" s="99"/>
      <c r="AK36" s="100"/>
      <c r="AL36" s="100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</row>
    <row r="37" spans="1:52" s="45" customFormat="1" ht="18.75" thickBot="1" x14ac:dyDescent="0.35">
      <c r="A37" s="98"/>
      <c r="B37" s="98"/>
      <c r="C37" s="709" t="s">
        <v>686</v>
      </c>
      <c r="D37" s="200" t="s">
        <v>324</v>
      </c>
      <c r="E37" s="200" t="s">
        <v>324</v>
      </c>
      <c r="F37" s="200" t="s">
        <v>324</v>
      </c>
      <c r="G37" s="200" t="s">
        <v>324</v>
      </c>
      <c r="H37" s="436" t="s">
        <v>608</v>
      </c>
      <c r="I37" s="493" t="s">
        <v>90</v>
      </c>
      <c r="J37" s="493" t="s">
        <v>90</v>
      </c>
      <c r="K37" s="266" t="s">
        <v>90</v>
      </c>
      <c r="L37" s="266" t="s">
        <v>90</v>
      </c>
      <c r="M37" s="266" t="s">
        <v>90</v>
      </c>
      <c r="N37" s="266" t="s">
        <v>90</v>
      </c>
      <c r="O37" s="266" t="s">
        <v>90</v>
      </c>
      <c r="P37" s="266" t="s">
        <v>90</v>
      </c>
      <c r="Q37" s="266" t="s">
        <v>90</v>
      </c>
      <c r="R37" s="266" t="s">
        <v>90</v>
      </c>
      <c r="S37" s="266" t="s">
        <v>90</v>
      </c>
      <c r="T37" s="266" t="s">
        <v>90</v>
      </c>
      <c r="U37" s="260" t="s">
        <v>3</v>
      </c>
      <c r="V37" s="260" t="s">
        <v>3</v>
      </c>
      <c r="W37" s="202" t="s">
        <v>3</v>
      </c>
      <c r="X37" s="203" t="s">
        <v>609</v>
      </c>
      <c r="Y37" s="98"/>
      <c r="Z37" s="419" t="s">
        <v>2</v>
      </c>
      <c r="AA37" s="644" t="str">
        <f>D37</f>
        <v>/</v>
      </c>
      <c r="AB37" s="546" t="e">
        <f>V37/W37</f>
        <v>#VALUE!</v>
      </c>
      <c r="AC37" s="418"/>
      <c r="AD37" s="605"/>
      <c r="AE37" s="98"/>
      <c r="AF37" s="98"/>
      <c r="AG37" s="99"/>
      <c r="AH37" s="100"/>
      <c r="AI37" s="100"/>
      <c r="AJ37" s="99"/>
      <c r="AK37" s="100"/>
      <c r="AL37" s="100"/>
      <c r="AM37" s="99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</row>
    <row r="38" spans="1:52" s="45" customFormat="1" ht="18" hidden="1" outlineLevel="1" x14ac:dyDescent="0.3">
      <c r="A38" s="98"/>
      <c r="B38" s="98"/>
      <c r="C38" s="709" t="s">
        <v>607</v>
      </c>
      <c r="D38" s="200" t="s">
        <v>324</v>
      </c>
      <c r="E38" s="200" t="s">
        <v>324</v>
      </c>
      <c r="F38" s="200" t="s">
        <v>324</v>
      </c>
      <c r="G38" s="200" t="s">
        <v>324</v>
      </c>
      <c r="H38" s="436" t="s">
        <v>608</v>
      </c>
      <c r="I38" s="494" t="s">
        <v>90</v>
      </c>
      <c r="J38" s="494" t="s">
        <v>90</v>
      </c>
      <c r="K38" s="437" t="s">
        <v>90</v>
      </c>
      <c r="L38" s="437" t="s">
        <v>90</v>
      </c>
      <c r="M38" s="437" t="s">
        <v>90</v>
      </c>
      <c r="N38" s="437" t="s">
        <v>90</v>
      </c>
      <c r="O38" s="437" t="s">
        <v>90</v>
      </c>
      <c r="P38" s="437" t="s">
        <v>90</v>
      </c>
      <c r="Q38" s="437" t="s">
        <v>90</v>
      </c>
      <c r="R38" s="437" t="s">
        <v>90</v>
      </c>
      <c r="S38" s="437" t="s">
        <v>90</v>
      </c>
      <c r="T38" s="437" t="s">
        <v>90</v>
      </c>
      <c r="U38" s="438" t="s">
        <v>3</v>
      </c>
      <c r="V38" s="438" t="s">
        <v>3</v>
      </c>
      <c r="W38" s="439" t="s">
        <v>3</v>
      </c>
      <c r="X38" s="440" t="s">
        <v>609</v>
      </c>
      <c r="Y38" s="98"/>
      <c r="Z38" s="419" t="s">
        <v>2</v>
      </c>
      <c r="AA38" s="644" t="str">
        <f>D38</f>
        <v>/</v>
      </c>
      <c r="AB38" s="546" t="e">
        <f>V38/W38</f>
        <v>#VALUE!</v>
      </c>
      <c r="AC38" s="418"/>
      <c r="AD38" s="605"/>
      <c r="AE38" s="98"/>
      <c r="AF38" s="98"/>
      <c r="AG38" s="99"/>
      <c r="AH38" s="100"/>
      <c r="AI38" s="100"/>
      <c r="AJ38" s="99"/>
      <c r="AK38" s="100"/>
      <c r="AL38" s="100"/>
      <c r="AM38" s="99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</row>
    <row r="39" spans="1:52" s="45" customFormat="1" ht="18" hidden="1" outlineLevel="1" x14ac:dyDescent="0.3">
      <c r="A39" s="98"/>
      <c r="B39" s="98"/>
      <c r="C39" s="709" t="s">
        <v>607</v>
      </c>
      <c r="D39" s="200" t="s">
        <v>324</v>
      </c>
      <c r="E39" s="200" t="s">
        <v>324</v>
      </c>
      <c r="F39" s="200" t="s">
        <v>324</v>
      </c>
      <c r="G39" s="200" t="s">
        <v>324</v>
      </c>
      <c r="H39" s="436" t="s">
        <v>608</v>
      </c>
      <c r="I39" s="494" t="s">
        <v>90</v>
      </c>
      <c r="J39" s="494" t="s">
        <v>90</v>
      </c>
      <c r="K39" s="437" t="s">
        <v>90</v>
      </c>
      <c r="L39" s="437" t="s">
        <v>90</v>
      </c>
      <c r="M39" s="437" t="s">
        <v>90</v>
      </c>
      <c r="N39" s="437" t="s">
        <v>90</v>
      </c>
      <c r="O39" s="437" t="s">
        <v>90</v>
      </c>
      <c r="P39" s="437" t="s">
        <v>90</v>
      </c>
      <c r="Q39" s="437" t="s">
        <v>90</v>
      </c>
      <c r="R39" s="437" t="s">
        <v>90</v>
      </c>
      <c r="S39" s="437" t="s">
        <v>90</v>
      </c>
      <c r="T39" s="437" t="s">
        <v>90</v>
      </c>
      <c r="U39" s="438" t="s">
        <v>3</v>
      </c>
      <c r="V39" s="438" t="s">
        <v>3</v>
      </c>
      <c r="W39" s="439" t="s">
        <v>3</v>
      </c>
      <c r="X39" s="440" t="s">
        <v>609</v>
      </c>
      <c r="Y39" s="98"/>
      <c r="Z39" s="419" t="s">
        <v>2</v>
      </c>
      <c r="AA39" s="644" t="str">
        <f>D39</f>
        <v>/</v>
      </c>
      <c r="AB39" s="546" t="e">
        <f>V39/W39</f>
        <v>#VALUE!</v>
      </c>
      <c r="AC39" s="418"/>
      <c r="AD39" s="605"/>
      <c r="AE39" s="98"/>
      <c r="AF39" s="98"/>
      <c r="AG39" s="99"/>
      <c r="AH39" s="100"/>
      <c r="AI39" s="100"/>
      <c r="AJ39" s="99"/>
      <c r="AK39" s="100"/>
      <c r="AL39" s="100"/>
      <c r="AM39" s="99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</row>
    <row r="40" spans="1:52" s="45" customFormat="1" ht="18" hidden="1" outlineLevel="1" x14ac:dyDescent="0.3">
      <c r="A40" s="98"/>
      <c r="B40" s="98"/>
      <c r="C40" s="709" t="s">
        <v>607</v>
      </c>
      <c r="D40" s="200" t="s">
        <v>324</v>
      </c>
      <c r="E40" s="200" t="s">
        <v>324</v>
      </c>
      <c r="F40" s="200" t="s">
        <v>324</v>
      </c>
      <c r="G40" s="200" t="s">
        <v>324</v>
      </c>
      <c r="H40" s="436" t="s">
        <v>608</v>
      </c>
      <c r="I40" s="494" t="s">
        <v>90</v>
      </c>
      <c r="J40" s="494" t="s">
        <v>90</v>
      </c>
      <c r="K40" s="437" t="s">
        <v>90</v>
      </c>
      <c r="L40" s="437" t="s">
        <v>90</v>
      </c>
      <c r="M40" s="437" t="s">
        <v>90</v>
      </c>
      <c r="N40" s="437" t="s">
        <v>90</v>
      </c>
      <c r="O40" s="437" t="s">
        <v>90</v>
      </c>
      <c r="P40" s="437" t="s">
        <v>90</v>
      </c>
      <c r="Q40" s="437" t="s">
        <v>90</v>
      </c>
      <c r="R40" s="437" t="s">
        <v>90</v>
      </c>
      <c r="S40" s="437" t="s">
        <v>90</v>
      </c>
      <c r="T40" s="437" t="s">
        <v>90</v>
      </c>
      <c r="U40" s="438" t="s">
        <v>3</v>
      </c>
      <c r="V40" s="438" t="s">
        <v>3</v>
      </c>
      <c r="W40" s="439" t="s">
        <v>3</v>
      </c>
      <c r="X40" s="440" t="s">
        <v>609</v>
      </c>
      <c r="Y40" s="98"/>
      <c r="Z40" s="419" t="s">
        <v>2</v>
      </c>
      <c r="AA40" s="644" t="str">
        <f>D40</f>
        <v>/</v>
      </c>
      <c r="AB40" s="546" t="e">
        <f>V40/W40</f>
        <v>#VALUE!</v>
      </c>
      <c r="AC40" s="418"/>
      <c r="AD40" s="605"/>
      <c r="AE40" s="98"/>
      <c r="AF40" s="98"/>
      <c r="AG40" s="99"/>
      <c r="AH40" s="100"/>
      <c r="AI40" s="100"/>
      <c r="AJ40" s="99"/>
      <c r="AK40" s="100"/>
      <c r="AL40" s="100"/>
      <c r="AM40" s="99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</row>
    <row r="41" spans="1:52" s="45" customFormat="1" ht="18" hidden="1" outlineLevel="1" x14ac:dyDescent="0.3">
      <c r="A41" s="98"/>
      <c r="B41" s="98"/>
      <c r="C41" s="709" t="s">
        <v>607</v>
      </c>
      <c r="D41" s="606" t="s">
        <v>336</v>
      </c>
      <c r="E41" s="200" t="s">
        <v>324</v>
      </c>
      <c r="F41" s="200" t="s">
        <v>324</v>
      </c>
      <c r="G41" s="200" t="s">
        <v>324</v>
      </c>
      <c r="H41" s="436" t="s">
        <v>608</v>
      </c>
      <c r="I41" s="494" t="s">
        <v>90</v>
      </c>
      <c r="J41" s="494" t="s">
        <v>90</v>
      </c>
      <c r="K41" s="437" t="s">
        <v>90</v>
      </c>
      <c r="L41" s="437" t="s">
        <v>90</v>
      </c>
      <c r="M41" s="437" t="s">
        <v>90</v>
      </c>
      <c r="N41" s="437" t="s">
        <v>90</v>
      </c>
      <c r="O41" s="437" t="s">
        <v>90</v>
      </c>
      <c r="P41" s="437" t="s">
        <v>90</v>
      </c>
      <c r="Q41" s="437" t="s">
        <v>90</v>
      </c>
      <c r="R41" s="437" t="s">
        <v>90</v>
      </c>
      <c r="S41" s="437" t="s">
        <v>90</v>
      </c>
      <c r="T41" s="437" t="s">
        <v>90</v>
      </c>
      <c r="U41" s="438" t="s">
        <v>3</v>
      </c>
      <c r="V41" s="438" t="s">
        <v>3</v>
      </c>
      <c r="W41" s="439" t="s">
        <v>3</v>
      </c>
      <c r="X41" s="440" t="s">
        <v>609</v>
      </c>
      <c r="Y41" s="98"/>
      <c r="Z41" s="419" t="s">
        <v>2</v>
      </c>
      <c r="AA41" s="644" t="str">
        <f t="shared" ref="AA41:AA43" si="28">D41</f>
        <v>+?</v>
      </c>
      <c r="AB41" s="546" t="e">
        <f t="shared" ref="AB41:AB156" si="29">V41/W41</f>
        <v>#VALUE!</v>
      </c>
      <c r="AC41" s="418"/>
      <c r="AD41" s="605"/>
      <c r="AE41" s="98"/>
      <c r="AF41" s="98"/>
      <c r="AG41" s="99"/>
      <c r="AH41" s="100"/>
      <c r="AI41" s="100"/>
      <c r="AJ41" s="99"/>
      <c r="AK41" s="100"/>
      <c r="AL41" s="100"/>
      <c r="AM41" s="99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</row>
    <row r="42" spans="1:52" s="45" customFormat="1" ht="18" hidden="1" outlineLevel="1" x14ac:dyDescent="0.3">
      <c r="A42" s="98"/>
      <c r="B42" s="98"/>
      <c r="C42" s="709" t="s">
        <v>607</v>
      </c>
      <c r="D42" s="606" t="s">
        <v>336</v>
      </c>
      <c r="E42" s="200" t="s">
        <v>324</v>
      </c>
      <c r="F42" s="200" t="s">
        <v>324</v>
      </c>
      <c r="G42" s="200" t="s">
        <v>324</v>
      </c>
      <c r="H42" s="436" t="s">
        <v>608</v>
      </c>
      <c r="I42" s="494" t="s">
        <v>90</v>
      </c>
      <c r="J42" s="494" t="s">
        <v>90</v>
      </c>
      <c r="K42" s="437" t="s">
        <v>90</v>
      </c>
      <c r="L42" s="437" t="s">
        <v>90</v>
      </c>
      <c r="M42" s="437" t="s">
        <v>90</v>
      </c>
      <c r="N42" s="437" t="s">
        <v>90</v>
      </c>
      <c r="O42" s="437" t="s">
        <v>90</v>
      </c>
      <c r="P42" s="437" t="s">
        <v>90</v>
      </c>
      <c r="Q42" s="437" t="s">
        <v>90</v>
      </c>
      <c r="R42" s="437" t="s">
        <v>90</v>
      </c>
      <c r="S42" s="437" t="s">
        <v>90</v>
      </c>
      <c r="T42" s="437" t="s">
        <v>90</v>
      </c>
      <c r="U42" s="438" t="s">
        <v>3</v>
      </c>
      <c r="V42" s="438" t="s">
        <v>3</v>
      </c>
      <c r="W42" s="439" t="s">
        <v>3</v>
      </c>
      <c r="X42" s="440" t="s">
        <v>609</v>
      </c>
      <c r="Y42" s="98"/>
      <c r="Z42" s="419" t="s">
        <v>2</v>
      </c>
      <c r="AA42" s="644" t="str">
        <f t="shared" si="28"/>
        <v>+?</v>
      </c>
      <c r="AB42" s="546" t="e">
        <f t="shared" si="29"/>
        <v>#VALUE!</v>
      </c>
      <c r="AC42" s="418"/>
      <c r="AD42" s="605"/>
      <c r="AE42" s="98"/>
      <c r="AF42" s="98"/>
      <c r="AG42" s="99"/>
      <c r="AH42" s="100"/>
      <c r="AI42" s="100"/>
      <c r="AJ42" s="99"/>
      <c r="AK42" s="100"/>
      <c r="AL42" s="100"/>
      <c r="AM42" s="99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</row>
    <row r="43" spans="1:52" s="45" customFormat="1" ht="18" hidden="1" outlineLevel="1" x14ac:dyDescent="0.3">
      <c r="A43" s="98"/>
      <c r="B43" s="98"/>
      <c r="C43" s="709" t="s">
        <v>607</v>
      </c>
      <c r="D43" s="606" t="s">
        <v>336</v>
      </c>
      <c r="E43" s="200" t="s">
        <v>324</v>
      </c>
      <c r="F43" s="200" t="s">
        <v>324</v>
      </c>
      <c r="G43" s="200" t="s">
        <v>324</v>
      </c>
      <c r="H43" s="436" t="s">
        <v>608</v>
      </c>
      <c r="I43" s="494" t="s">
        <v>90</v>
      </c>
      <c r="J43" s="494" t="s">
        <v>90</v>
      </c>
      <c r="K43" s="437" t="s">
        <v>90</v>
      </c>
      <c r="L43" s="437" t="s">
        <v>90</v>
      </c>
      <c r="M43" s="437" t="s">
        <v>90</v>
      </c>
      <c r="N43" s="437" t="s">
        <v>90</v>
      </c>
      <c r="O43" s="437" t="s">
        <v>90</v>
      </c>
      <c r="P43" s="437" t="s">
        <v>90</v>
      </c>
      <c r="Q43" s="437" t="s">
        <v>90</v>
      </c>
      <c r="R43" s="437" t="s">
        <v>90</v>
      </c>
      <c r="S43" s="437" t="s">
        <v>90</v>
      </c>
      <c r="T43" s="437" t="s">
        <v>90</v>
      </c>
      <c r="U43" s="438" t="s">
        <v>3</v>
      </c>
      <c r="V43" s="438" t="s">
        <v>3</v>
      </c>
      <c r="W43" s="439" t="s">
        <v>3</v>
      </c>
      <c r="X43" s="440" t="s">
        <v>609</v>
      </c>
      <c r="Y43" s="98"/>
      <c r="Z43" s="419" t="s">
        <v>2</v>
      </c>
      <c r="AA43" s="644" t="str">
        <f t="shared" si="28"/>
        <v>+?</v>
      </c>
      <c r="AB43" s="546" t="e">
        <f t="shared" si="29"/>
        <v>#VALUE!</v>
      </c>
      <c r="AC43" s="418"/>
      <c r="AD43" s="605"/>
      <c r="AE43" s="98"/>
      <c r="AF43" s="98"/>
      <c r="AG43" s="99"/>
      <c r="AH43" s="100"/>
      <c r="AI43" s="100"/>
      <c r="AJ43" s="99"/>
      <c r="AK43" s="100"/>
      <c r="AL43" s="100"/>
      <c r="AM43" s="99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</row>
    <row r="44" spans="1:52" s="45" customFormat="1" ht="18.75" hidden="1" outlineLevel="1" thickBot="1" x14ac:dyDescent="0.35">
      <c r="A44" s="98"/>
      <c r="B44" s="98"/>
      <c r="C44" s="709" t="s">
        <v>607</v>
      </c>
      <c r="D44" s="606" t="s">
        <v>336</v>
      </c>
      <c r="E44" s="200" t="s">
        <v>324</v>
      </c>
      <c r="F44" s="200" t="s">
        <v>324</v>
      </c>
      <c r="G44" s="200" t="s">
        <v>324</v>
      </c>
      <c r="H44" s="436" t="s">
        <v>608</v>
      </c>
      <c r="I44" s="494" t="s">
        <v>90</v>
      </c>
      <c r="J44" s="494" t="s">
        <v>90</v>
      </c>
      <c r="K44" s="437" t="s">
        <v>90</v>
      </c>
      <c r="L44" s="437" t="s">
        <v>90</v>
      </c>
      <c r="M44" s="437" t="s">
        <v>90</v>
      </c>
      <c r="N44" s="437" t="s">
        <v>90</v>
      </c>
      <c r="O44" s="437" t="s">
        <v>90</v>
      </c>
      <c r="P44" s="437" t="s">
        <v>90</v>
      </c>
      <c r="Q44" s="437" t="s">
        <v>90</v>
      </c>
      <c r="R44" s="437" t="s">
        <v>90</v>
      </c>
      <c r="S44" s="437" t="s">
        <v>90</v>
      </c>
      <c r="T44" s="437" t="s">
        <v>90</v>
      </c>
      <c r="U44" s="438" t="s">
        <v>3</v>
      </c>
      <c r="V44" s="438" t="s">
        <v>3</v>
      </c>
      <c r="W44" s="439" t="s">
        <v>3</v>
      </c>
      <c r="X44" s="440" t="s">
        <v>609</v>
      </c>
      <c r="Y44" s="98"/>
      <c r="Z44" s="419" t="s">
        <v>2</v>
      </c>
      <c r="AA44" s="644" t="str">
        <f t="shared" ref="AA44:AA156" si="30">D44</f>
        <v>+?</v>
      </c>
      <c r="AB44" s="546" t="e">
        <f t="shared" ref="AB44" si="31">V44/W44</f>
        <v>#VALUE!</v>
      </c>
      <c r="AC44" s="418"/>
      <c r="AD44" s="605"/>
      <c r="AE44" s="98"/>
      <c r="AF44" s="98"/>
      <c r="AG44" s="99"/>
      <c r="AH44" s="100"/>
      <c r="AI44" s="100"/>
      <c r="AJ44" s="99"/>
      <c r="AK44" s="100"/>
      <c r="AL44" s="100"/>
      <c r="AM44" s="99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</row>
    <row r="45" spans="1:52" s="561" customFormat="1" ht="18" collapsed="1" x14ac:dyDescent="0.3">
      <c r="A45" s="185"/>
      <c r="B45" s="702"/>
      <c r="C45" s="583" t="s">
        <v>610</v>
      </c>
      <c r="D45" s="584" t="s">
        <v>372</v>
      </c>
      <c r="E45" s="584">
        <v>1</v>
      </c>
      <c r="F45" s="584">
        <v>1</v>
      </c>
      <c r="G45" s="584">
        <v>1</v>
      </c>
      <c r="H45" s="585" t="s">
        <v>428</v>
      </c>
      <c r="I45" s="595" t="s">
        <v>84</v>
      </c>
      <c r="J45" s="595" t="s">
        <v>364</v>
      </c>
      <c r="K45" s="595" t="s">
        <v>364</v>
      </c>
      <c r="L45" s="595" t="s">
        <v>364</v>
      </c>
      <c r="M45" s="587" t="s">
        <v>2</v>
      </c>
      <c r="N45" s="595" t="s">
        <v>364</v>
      </c>
      <c r="O45" s="595" t="s">
        <v>364</v>
      </c>
      <c r="P45" s="595" t="s">
        <v>364</v>
      </c>
      <c r="Q45" s="595" t="s">
        <v>364</v>
      </c>
      <c r="R45" s="595" t="s">
        <v>364</v>
      </c>
      <c r="S45" s="595" t="s">
        <v>364</v>
      </c>
      <c r="T45" s="587" t="s">
        <v>2</v>
      </c>
      <c r="U45" s="588">
        <v>18.690000000000001</v>
      </c>
      <c r="V45" s="589">
        <f>ROUND(U45*(1+$W$6),2)</f>
        <v>20</v>
      </c>
      <c r="W45" s="590">
        <v>19.95</v>
      </c>
      <c r="X45" s="591"/>
      <c r="Y45" s="185"/>
      <c r="Z45" s="558" t="s">
        <v>2</v>
      </c>
      <c r="AA45" s="646">
        <f>55+AA47</f>
        <v>57</v>
      </c>
      <c r="AB45" s="559">
        <f>V45/W45</f>
        <v>1.0025062656641603</v>
      </c>
      <c r="AC45" s="185"/>
      <c r="AD45" s="605"/>
      <c r="AE45" s="185"/>
      <c r="AF45" s="185"/>
      <c r="AG45" s="560"/>
      <c r="AH45" s="100"/>
      <c r="AI45" s="100"/>
      <c r="AJ45" s="560"/>
      <c r="AK45" s="100"/>
      <c r="AL45" s="100"/>
      <c r="AM45" s="560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</row>
    <row r="46" spans="1:52" s="578" customFormat="1" hidden="1" outlineLevel="1" x14ac:dyDescent="0.3">
      <c r="A46" s="566"/>
      <c r="B46" s="706"/>
      <c r="C46" s="705" t="s">
        <v>348</v>
      </c>
      <c r="D46" s="567" t="s">
        <v>324</v>
      </c>
      <c r="E46" s="567" t="s">
        <v>324</v>
      </c>
      <c r="F46" s="567" t="s">
        <v>324</v>
      </c>
      <c r="G46" s="567" t="s">
        <v>324</v>
      </c>
      <c r="H46" s="568" t="s">
        <v>358</v>
      </c>
      <c r="I46" s="493" t="s">
        <v>90</v>
      </c>
      <c r="J46" s="493" t="s">
        <v>90</v>
      </c>
      <c r="K46" s="266" t="s">
        <v>90</v>
      </c>
      <c r="L46" s="266" t="s">
        <v>90</v>
      </c>
      <c r="M46" s="266" t="s">
        <v>90</v>
      </c>
      <c r="N46" s="266" t="s">
        <v>90</v>
      </c>
      <c r="O46" s="266" t="s">
        <v>90</v>
      </c>
      <c r="P46" s="266" t="s">
        <v>90</v>
      </c>
      <c r="Q46" s="266" t="s">
        <v>90</v>
      </c>
      <c r="R46" s="266" t="s">
        <v>90</v>
      </c>
      <c r="S46" s="266" t="s">
        <v>90</v>
      </c>
      <c r="T46" s="266" t="s">
        <v>90</v>
      </c>
      <c r="U46" s="571" t="s">
        <v>3</v>
      </c>
      <c r="V46" s="571" t="s">
        <v>3</v>
      </c>
      <c r="W46" s="572" t="s">
        <v>3</v>
      </c>
      <c r="X46" s="573" t="s">
        <v>331</v>
      </c>
      <c r="Y46" s="566"/>
      <c r="Z46" s="574" t="s">
        <v>2</v>
      </c>
      <c r="AA46" s="647" t="str">
        <f t="shared" ref="AA46" si="32">D46</f>
        <v>/</v>
      </c>
      <c r="AB46" s="575" t="e">
        <f>V46/W46</f>
        <v>#VALUE!</v>
      </c>
      <c r="AC46" s="576"/>
      <c r="AD46" s="605"/>
      <c r="AE46" s="566"/>
      <c r="AF46" s="566"/>
      <c r="AG46" s="566"/>
      <c r="AH46" s="577"/>
      <c r="AI46" s="577"/>
      <c r="AJ46" s="566"/>
      <c r="AK46" s="577"/>
      <c r="AL46" s="577"/>
      <c r="AM46" s="566"/>
      <c r="AN46" s="566"/>
      <c r="AO46" s="566"/>
      <c r="AP46" s="566"/>
      <c r="AQ46" s="566"/>
      <c r="AR46" s="566"/>
      <c r="AS46" s="566"/>
      <c r="AT46" s="566"/>
      <c r="AU46" s="566"/>
      <c r="AV46" s="566"/>
      <c r="AW46" s="566"/>
      <c r="AX46" s="566"/>
      <c r="AY46" s="566"/>
      <c r="AZ46" s="566"/>
    </row>
    <row r="47" spans="1:52" s="45" customFormat="1" ht="18" hidden="1" outlineLevel="1" x14ac:dyDescent="0.3">
      <c r="A47" s="98"/>
      <c r="B47" s="706"/>
      <c r="C47" s="488" t="s">
        <v>407</v>
      </c>
      <c r="D47" s="547" t="s">
        <v>336</v>
      </c>
      <c r="E47" s="200" t="s">
        <v>324</v>
      </c>
      <c r="F47" s="200" t="s">
        <v>324</v>
      </c>
      <c r="G47" s="200" t="s">
        <v>324</v>
      </c>
      <c r="H47" s="201" t="s">
        <v>330</v>
      </c>
      <c r="I47" s="493" t="s">
        <v>90</v>
      </c>
      <c r="J47" s="493" t="s">
        <v>90</v>
      </c>
      <c r="K47" s="266" t="s">
        <v>90</v>
      </c>
      <c r="L47" s="266" t="s">
        <v>90</v>
      </c>
      <c r="M47" s="266" t="s">
        <v>90</v>
      </c>
      <c r="N47" s="266" t="s">
        <v>90</v>
      </c>
      <c r="O47" s="266" t="s">
        <v>90</v>
      </c>
      <c r="P47" s="266" t="s">
        <v>90</v>
      </c>
      <c r="Q47" s="266" t="s">
        <v>90</v>
      </c>
      <c r="R47" s="266" t="s">
        <v>90</v>
      </c>
      <c r="S47" s="266" t="s">
        <v>90</v>
      </c>
      <c r="T47" s="266" t="s">
        <v>90</v>
      </c>
      <c r="U47" s="260" t="s">
        <v>3</v>
      </c>
      <c r="V47" s="260" t="s">
        <v>3</v>
      </c>
      <c r="W47" s="202" t="s">
        <v>3</v>
      </c>
      <c r="X47" s="203" t="s">
        <v>331</v>
      </c>
      <c r="Y47" s="98"/>
      <c r="Z47" s="419" t="s">
        <v>2</v>
      </c>
      <c r="AA47" s="644">
        <v>2</v>
      </c>
      <c r="AB47" s="546" t="e">
        <f t="shared" ref="AB47" si="33">V47/W47</f>
        <v>#VALUE!</v>
      </c>
      <c r="AC47" s="418"/>
      <c r="AD47" s="605"/>
      <c r="AE47" s="98"/>
      <c r="AF47" s="98"/>
      <c r="AG47" s="99"/>
      <c r="AH47" s="100"/>
      <c r="AI47" s="100"/>
      <c r="AJ47" s="99"/>
      <c r="AK47" s="100"/>
      <c r="AL47" s="100"/>
      <c r="AM47" s="99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</row>
    <row r="48" spans="1:52" s="561" customFormat="1" ht="18" collapsed="1" x14ac:dyDescent="0.3">
      <c r="A48" s="185"/>
      <c r="B48" s="703"/>
      <c r="C48" s="592" t="s">
        <v>611</v>
      </c>
      <c r="D48" s="584" t="s">
        <v>329</v>
      </c>
      <c r="E48" s="584">
        <v>1</v>
      </c>
      <c r="F48" s="584">
        <v>2</v>
      </c>
      <c r="G48" s="584" t="s">
        <v>338</v>
      </c>
      <c r="H48" s="585" t="s">
        <v>428</v>
      </c>
      <c r="I48" s="595" t="s">
        <v>84</v>
      </c>
      <c r="J48" s="595" t="s">
        <v>364</v>
      </c>
      <c r="K48" s="595" t="s">
        <v>364</v>
      </c>
      <c r="L48" s="595" t="s">
        <v>364</v>
      </c>
      <c r="M48" s="587" t="s">
        <v>2</v>
      </c>
      <c r="N48" s="595" t="s">
        <v>364</v>
      </c>
      <c r="O48" s="595" t="s">
        <v>364</v>
      </c>
      <c r="P48" s="595" t="s">
        <v>364</v>
      </c>
      <c r="Q48" s="595" t="s">
        <v>364</v>
      </c>
      <c r="R48" s="595" t="s">
        <v>364</v>
      </c>
      <c r="S48" s="595" t="s">
        <v>364</v>
      </c>
      <c r="T48" s="587" t="s">
        <v>2</v>
      </c>
      <c r="U48" s="588">
        <v>18.690000000000001</v>
      </c>
      <c r="V48" s="589">
        <f>ROUND(U48*(1+$W$6),2)</f>
        <v>20</v>
      </c>
      <c r="W48" s="590">
        <v>19.95</v>
      </c>
      <c r="X48" s="591"/>
      <c r="Y48" s="185"/>
      <c r="Z48" s="558" t="s">
        <v>2</v>
      </c>
      <c r="AA48" s="646">
        <f>190+90</f>
        <v>280</v>
      </c>
      <c r="AB48" s="559">
        <f t="shared" si="29"/>
        <v>1.0025062656641603</v>
      </c>
      <c r="AC48" s="185"/>
      <c r="AD48" s="605"/>
      <c r="AE48" s="185"/>
      <c r="AF48" s="185"/>
      <c r="AG48" s="560"/>
      <c r="AH48" s="100"/>
      <c r="AI48" s="100"/>
      <c r="AJ48" s="560"/>
      <c r="AK48" s="100"/>
      <c r="AL48" s="100"/>
      <c r="AM48" s="560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</row>
    <row r="49" spans="1:52" s="561" customFormat="1" ht="18.75" thickBot="1" x14ac:dyDescent="0.35">
      <c r="A49" s="185"/>
      <c r="B49" s="704"/>
      <c r="C49" s="583" t="s">
        <v>624</v>
      </c>
      <c r="D49" s="584" t="s">
        <v>336</v>
      </c>
      <c r="E49" s="594" t="s">
        <v>324</v>
      </c>
      <c r="F49" s="584">
        <v>1</v>
      </c>
      <c r="G49" s="584">
        <v>1</v>
      </c>
      <c r="H49" s="585" t="s">
        <v>429</v>
      </c>
      <c r="I49" s="595" t="s">
        <v>84</v>
      </c>
      <c r="J49" s="595" t="s">
        <v>364</v>
      </c>
      <c r="K49" s="595" t="s">
        <v>364</v>
      </c>
      <c r="L49" s="595" t="s">
        <v>364</v>
      </c>
      <c r="M49" s="595" t="s">
        <v>364</v>
      </c>
      <c r="N49" s="595" t="s">
        <v>364</v>
      </c>
      <c r="O49" s="595" t="s">
        <v>364</v>
      </c>
      <c r="P49" s="595" t="s">
        <v>364</v>
      </c>
      <c r="Q49" s="595" t="s">
        <v>364</v>
      </c>
      <c r="R49" s="587" t="s">
        <v>2</v>
      </c>
      <c r="S49" s="587" t="s">
        <v>2</v>
      </c>
      <c r="T49" s="587" t="s">
        <v>2</v>
      </c>
      <c r="U49" s="588">
        <v>18.690000000000001</v>
      </c>
      <c r="V49" s="589">
        <f>ROUND(U49*(1+$W$6),2)</f>
        <v>20</v>
      </c>
      <c r="W49" s="590">
        <v>19.95</v>
      </c>
      <c r="X49" s="591"/>
      <c r="Y49" s="185"/>
      <c r="Z49" s="558" t="s">
        <v>2</v>
      </c>
      <c r="AA49" s="646"/>
      <c r="AB49" s="559">
        <f t="shared" si="29"/>
        <v>1.0025062656641603</v>
      </c>
      <c r="AC49" s="185"/>
      <c r="AD49" s="605"/>
      <c r="AE49" s="185"/>
      <c r="AF49" s="185"/>
      <c r="AG49" s="560"/>
      <c r="AH49" s="100"/>
      <c r="AI49" s="100"/>
      <c r="AJ49" s="560"/>
      <c r="AK49" s="100"/>
      <c r="AL49" s="100"/>
      <c r="AM49" s="560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</row>
    <row r="50" spans="1:52" s="95" customFormat="1" ht="18.75" thickBot="1" x14ac:dyDescent="0.35">
      <c r="B50" s="750" t="s">
        <v>660</v>
      </c>
      <c r="C50" s="709" t="s">
        <v>648</v>
      </c>
      <c r="D50" s="154"/>
      <c r="E50" s="154"/>
      <c r="F50" s="154"/>
      <c r="G50" s="154"/>
      <c r="H50" s="201" t="s">
        <v>550</v>
      </c>
      <c r="I50" s="493" t="s">
        <v>90</v>
      </c>
      <c r="J50" s="493" t="s">
        <v>90</v>
      </c>
      <c r="K50" s="493" t="s">
        <v>90</v>
      </c>
      <c r="L50" s="493" t="s">
        <v>90</v>
      </c>
      <c r="M50" s="493" t="s">
        <v>90</v>
      </c>
      <c r="N50" s="493" t="s">
        <v>90</v>
      </c>
      <c r="O50" s="493" t="s">
        <v>90</v>
      </c>
      <c r="P50" s="493" t="s">
        <v>90</v>
      </c>
      <c r="Q50" s="493" t="s">
        <v>90</v>
      </c>
      <c r="R50" s="493" t="s">
        <v>90</v>
      </c>
      <c r="S50" s="493" t="s">
        <v>90</v>
      </c>
      <c r="T50" s="493" t="s">
        <v>90</v>
      </c>
      <c r="U50" s="260" t="s">
        <v>3</v>
      </c>
      <c r="V50" s="708" t="s">
        <v>3</v>
      </c>
      <c r="W50" s="46" t="s">
        <v>3</v>
      </c>
      <c r="X50" s="754" t="s">
        <v>661</v>
      </c>
      <c r="Z50" s="777" t="s">
        <v>2</v>
      </c>
      <c r="AA50" s="778" t="e">
        <f>V50/#REF!</f>
        <v>#VALUE!</v>
      </c>
      <c r="AB50" s="779" t="e">
        <f>W50/#REF!</f>
        <v>#VALUE!</v>
      </c>
      <c r="AG50" s="99"/>
      <c r="AH50" s="100"/>
      <c r="AI50" s="100"/>
      <c r="AJ50" s="99"/>
      <c r="AK50" s="100"/>
      <c r="AL50" s="100"/>
      <c r="AM50" s="99"/>
    </row>
    <row r="51" spans="1:52" s="95" customFormat="1" ht="18" hidden="1" outlineLevel="1" x14ac:dyDescent="0.3">
      <c r="B51" s="750"/>
      <c r="C51" s="709" t="s">
        <v>553</v>
      </c>
      <c r="D51" s="154"/>
      <c r="E51" s="154"/>
      <c r="F51" s="154"/>
      <c r="G51" s="154"/>
      <c r="H51" s="201" t="s">
        <v>551</v>
      </c>
      <c r="I51" s="493" t="s">
        <v>90</v>
      </c>
      <c r="J51" s="493" t="s">
        <v>90</v>
      </c>
      <c r="K51" s="266" t="s">
        <v>90</v>
      </c>
      <c r="L51" s="266" t="s">
        <v>90</v>
      </c>
      <c r="M51" s="266" t="s">
        <v>90</v>
      </c>
      <c r="N51" s="266" t="s">
        <v>90</v>
      </c>
      <c r="O51" s="266" t="s">
        <v>90</v>
      </c>
      <c r="P51" s="266" t="s">
        <v>90</v>
      </c>
      <c r="Q51" s="266" t="s">
        <v>90</v>
      </c>
      <c r="R51" s="266" t="s">
        <v>90</v>
      </c>
      <c r="S51" s="266" t="s">
        <v>90</v>
      </c>
      <c r="T51" s="266" t="s">
        <v>90</v>
      </c>
      <c r="U51" s="260" t="s">
        <v>3</v>
      </c>
      <c r="V51" s="260" t="s">
        <v>3</v>
      </c>
      <c r="W51" s="202" t="s">
        <v>3</v>
      </c>
      <c r="X51" s="203" t="s">
        <v>552</v>
      </c>
      <c r="Z51" s="777" t="s">
        <v>2</v>
      </c>
      <c r="AA51" s="778" t="e">
        <f>V51/#REF!</f>
        <v>#VALUE!</v>
      </c>
      <c r="AB51" s="779" t="e">
        <f>W51/#REF!</f>
        <v>#VALUE!</v>
      </c>
      <c r="AG51" s="99"/>
      <c r="AH51" s="100"/>
      <c r="AI51" s="100"/>
      <c r="AJ51" s="99"/>
      <c r="AK51" s="100"/>
      <c r="AL51" s="100"/>
      <c r="AM51" s="99"/>
    </row>
    <row r="52" spans="1:52" s="45" customFormat="1" ht="18" hidden="1" outlineLevel="1" x14ac:dyDescent="0.3">
      <c r="A52" s="98"/>
      <c r="B52" s="98"/>
      <c r="C52" s="709" t="s">
        <v>558</v>
      </c>
      <c r="D52" s="200" t="s">
        <v>324</v>
      </c>
      <c r="E52" s="200" t="s">
        <v>324</v>
      </c>
      <c r="F52" s="200" t="s">
        <v>324</v>
      </c>
      <c r="G52" s="200" t="s">
        <v>324</v>
      </c>
      <c r="H52" s="201" t="s">
        <v>555</v>
      </c>
      <c r="I52" s="493" t="s">
        <v>90</v>
      </c>
      <c r="J52" s="493" t="s">
        <v>90</v>
      </c>
      <c r="K52" s="266" t="s">
        <v>90</v>
      </c>
      <c r="L52" s="266" t="s">
        <v>90</v>
      </c>
      <c r="M52" s="266" t="s">
        <v>90</v>
      </c>
      <c r="N52" s="266" t="s">
        <v>90</v>
      </c>
      <c r="O52" s="266" t="s">
        <v>90</v>
      </c>
      <c r="P52" s="266" t="s">
        <v>90</v>
      </c>
      <c r="Q52" s="266" t="s">
        <v>90</v>
      </c>
      <c r="R52" s="266" t="s">
        <v>90</v>
      </c>
      <c r="S52" s="266" t="s">
        <v>90</v>
      </c>
      <c r="T52" s="266" t="s">
        <v>90</v>
      </c>
      <c r="U52" s="260" t="s">
        <v>3</v>
      </c>
      <c r="V52" s="260" t="s">
        <v>3</v>
      </c>
      <c r="W52" s="202" t="s">
        <v>3</v>
      </c>
      <c r="X52" s="203" t="s">
        <v>527</v>
      </c>
      <c r="Y52" s="98"/>
      <c r="Z52" s="419" t="s">
        <v>2</v>
      </c>
      <c r="AA52" s="644" t="str">
        <f>D52</f>
        <v>/</v>
      </c>
      <c r="AB52" s="546" t="e">
        <f>V52/W52</f>
        <v>#VALUE!</v>
      </c>
      <c r="AC52" s="418"/>
      <c r="AD52" s="605"/>
      <c r="AE52" s="98"/>
      <c r="AF52" s="98"/>
      <c r="AG52" s="99"/>
      <c r="AH52" s="100"/>
      <c r="AI52" s="100"/>
      <c r="AJ52" s="99"/>
      <c r="AK52" s="100"/>
      <c r="AL52" s="100"/>
      <c r="AM52" s="99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</row>
    <row r="53" spans="1:52" s="45" customFormat="1" ht="18.75" hidden="1" outlineLevel="1" thickBot="1" x14ac:dyDescent="0.35">
      <c r="A53" s="98"/>
      <c r="B53" s="98"/>
      <c r="C53" s="709" t="s">
        <v>557</v>
      </c>
      <c r="D53" s="200" t="s">
        <v>324</v>
      </c>
      <c r="E53" s="200" t="s">
        <v>324</v>
      </c>
      <c r="F53" s="200" t="s">
        <v>324</v>
      </c>
      <c r="G53" s="200" t="s">
        <v>324</v>
      </c>
      <c r="H53" s="436" t="s">
        <v>551</v>
      </c>
      <c r="I53" s="494" t="s">
        <v>90</v>
      </c>
      <c r="J53" s="494" t="s">
        <v>90</v>
      </c>
      <c r="K53" s="437" t="s">
        <v>90</v>
      </c>
      <c r="L53" s="437" t="s">
        <v>90</v>
      </c>
      <c r="M53" s="437" t="s">
        <v>90</v>
      </c>
      <c r="N53" s="437" t="s">
        <v>90</v>
      </c>
      <c r="O53" s="437" t="s">
        <v>90</v>
      </c>
      <c r="P53" s="437"/>
      <c r="Q53" s="437"/>
      <c r="R53" s="437"/>
      <c r="S53" s="437"/>
      <c r="T53" s="437" t="s">
        <v>90</v>
      </c>
      <c r="U53" s="438" t="s">
        <v>3</v>
      </c>
      <c r="V53" s="438" t="s">
        <v>3</v>
      </c>
      <c r="W53" s="439" t="s">
        <v>3</v>
      </c>
      <c r="X53" s="440" t="s">
        <v>527</v>
      </c>
      <c r="Y53" s="98"/>
      <c r="Z53" s="419" t="s">
        <v>2</v>
      </c>
      <c r="AA53" s="644" t="str">
        <f>D53</f>
        <v>/</v>
      </c>
      <c r="AB53" s="546" t="e">
        <f>V53/W53</f>
        <v>#VALUE!</v>
      </c>
      <c r="AC53" s="418"/>
      <c r="AD53" s="605"/>
      <c r="AE53" s="98"/>
      <c r="AF53" s="98"/>
      <c r="AG53" s="99"/>
      <c r="AH53" s="100"/>
      <c r="AI53" s="100"/>
      <c r="AJ53" s="99"/>
      <c r="AK53" s="100"/>
      <c r="AL53" s="100"/>
      <c r="AM53" s="99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</row>
    <row r="54" spans="1:52" s="561" customFormat="1" ht="18" collapsed="1" x14ac:dyDescent="0.3">
      <c r="A54" s="185"/>
      <c r="B54" s="702"/>
      <c r="C54" s="583" t="s">
        <v>626</v>
      </c>
      <c r="D54" s="584" t="s">
        <v>336</v>
      </c>
      <c r="E54" s="594" t="s">
        <v>324</v>
      </c>
      <c r="F54" s="584">
        <v>1</v>
      </c>
      <c r="G54" s="584">
        <v>1</v>
      </c>
      <c r="H54" s="585" t="s">
        <v>612</v>
      </c>
      <c r="I54" s="595" t="s">
        <v>84</v>
      </c>
      <c r="J54" s="595" t="s">
        <v>364</v>
      </c>
      <c r="K54" s="595" t="s">
        <v>364</v>
      </c>
      <c r="L54" s="595" t="s">
        <v>364</v>
      </c>
      <c r="M54" s="595" t="s">
        <v>364</v>
      </c>
      <c r="N54" s="595" t="s">
        <v>364</v>
      </c>
      <c r="O54" s="595" t="s">
        <v>364</v>
      </c>
      <c r="P54" s="595" t="s">
        <v>364</v>
      </c>
      <c r="Q54" s="595" t="s">
        <v>364</v>
      </c>
      <c r="R54" s="587" t="s">
        <v>2</v>
      </c>
      <c r="S54" s="587" t="s">
        <v>2</v>
      </c>
      <c r="T54" s="587" t="s">
        <v>2</v>
      </c>
      <c r="U54" s="588">
        <v>16.809999999999999</v>
      </c>
      <c r="V54" s="589">
        <f t="shared" ref="V54:V56" si="34">ROUND(U54*(1.19),2)</f>
        <v>20</v>
      </c>
      <c r="W54" s="590">
        <v>19.95</v>
      </c>
      <c r="X54" s="591"/>
      <c r="Y54" s="185"/>
      <c r="Z54" s="558" t="s">
        <v>2</v>
      </c>
      <c r="AA54" s="646"/>
      <c r="AB54" s="559">
        <f t="shared" ref="AB54:AB55" si="35">V54/W54</f>
        <v>1.0025062656641603</v>
      </c>
      <c r="AC54" s="185"/>
      <c r="AD54" s="605"/>
      <c r="AE54" s="185"/>
      <c r="AF54" s="185"/>
      <c r="AG54" s="560"/>
      <c r="AH54" s="100"/>
      <c r="AI54" s="100"/>
      <c r="AJ54" s="560"/>
      <c r="AK54" s="100"/>
      <c r="AL54" s="100"/>
      <c r="AM54" s="560"/>
      <c r="AN54" s="185"/>
      <c r="AO54" s="185"/>
      <c r="AP54" s="185"/>
      <c r="AQ54" s="185"/>
      <c r="AR54" s="185"/>
      <c r="AS54" s="185"/>
      <c r="AT54" s="185"/>
      <c r="AU54" s="185"/>
      <c r="AV54" s="185"/>
      <c r="AW54" s="185"/>
      <c r="AX54" s="185"/>
      <c r="AY54" s="185"/>
      <c r="AZ54" s="185"/>
    </row>
    <row r="55" spans="1:52" s="561" customFormat="1" ht="18" x14ac:dyDescent="0.3">
      <c r="A55" s="185"/>
      <c r="B55" s="703"/>
      <c r="C55" s="583" t="s">
        <v>613</v>
      </c>
      <c r="D55" s="584" t="s">
        <v>336</v>
      </c>
      <c r="E55" s="594" t="s">
        <v>324</v>
      </c>
      <c r="F55" s="584">
        <v>1</v>
      </c>
      <c r="G55" s="584">
        <v>1</v>
      </c>
      <c r="H55" s="585" t="s">
        <v>614</v>
      </c>
      <c r="I55" s="595" t="s">
        <v>84</v>
      </c>
      <c r="J55" s="595" t="s">
        <v>364</v>
      </c>
      <c r="K55" s="595" t="s">
        <v>364</v>
      </c>
      <c r="L55" s="595" t="s">
        <v>364</v>
      </c>
      <c r="M55" s="595" t="s">
        <v>364</v>
      </c>
      <c r="N55" s="595" t="s">
        <v>364</v>
      </c>
      <c r="O55" s="595" t="s">
        <v>364</v>
      </c>
      <c r="P55" s="595" t="s">
        <v>364</v>
      </c>
      <c r="Q55" s="595" t="s">
        <v>364</v>
      </c>
      <c r="R55" s="587" t="s">
        <v>2</v>
      </c>
      <c r="S55" s="587" t="s">
        <v>2</v>
      </c>
      <c r="T55" s="587" t="s">
        <v>2</v>
      </c>
      <c r="U55" s="588">
        <v>4.2</v>
      </c>
      <c r="V55" s="589">
        <f t="shared" si="34"/>
        <v>5</v>
      </c>
      <c r="W55" s="590">
        <v>4.95</v>
      </c>
      <c r="X55" s="591"/>
      <c r="Y55" s="185"/>
      <c r="Z55" s="558" t="s">
        <v>2</v>
      </c>
      <c r="AA55" s="646"/>
      <c r="AB55" s="559">
        <f t="shared" si="35"/>
        <v>1.0101010101010102</v>
      </c>
      <c r="AC55" s="185"/>
      <c r="AD55" s="605"/>
      <c r="AE55" s="185"/>
      <c r="AF55" s="185"/>
      <c r="AG55" s="560"/>
      <c r="AH55" s="100"/>
      <c r="AI55" s="100"/>
      <c r="AJ55" s="560"/>
      <c r="AK55" s="100"/>
      <c r="AL55" s="100"/>
      <c r="AM55" s="560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</row>
    <row r="56" spans="1:52" s="561" customFormat="1" ht="18" x14ac:dyDescent="0.3">
      <c r="A56" s="185"/>
      <c r="B56" s="703"/>
      <c r="C56" s="583" t="s">
        <v>615</v>
      </c>
      <c r="D56" s="584" t="s">
        <v>336</v>
      </c>
      <c r="E56" s="594" t="s">
        <v>324</v>
      </c>
      <c r="F56" s="584">
        <v>1</v>
      </c>
      <c r="G56" s="584">
        <v>1</v>
      </c>
      <c r="H56" s="585" t="s">
        <v>614</v>
      </c>
      <c r="I56" s="595" t="s">
        <v>84</v>
      </c>
      <c r="J56" s="595" t="s">
        <v>364</v>
      </c>
      <c r="K56" s="595" t="s">
        <v>364</v>
      </c>
      <c r="L56" s="595" t="s">
        <v>364</v>
      </c>
      <c r="M56" s="595" t="s">
        <v>364</v>
      </c>
      <c r="N56" s="595" t="s">
        <v>364</v>
      </c>
      <c r="O56" s="595" t="s">
        <v>364</v>
      </c>
      <c r="P56" s="595" t="s">
        <v>364</v>
      </c>
      <c r="Q56" s="595" t="s">
        <v>364</v>
      </c>
      <c r="R56" s="587" t="s">
        <v>2</v>
      </c>
      <c r="S56" s="587" t="s">
        <v>2</v>
      </c>
      <c r="T56" s="587" t="s">
        <v>2</v>
      </c>
      <c r="U56" s="588">
        <v>4.2</v>
      </c>
      <c r="V56" s="589">
        <f t="shared" si="34"/>
        <v>5</v>
      </c>
      <c r="W56" s="590">
        <v>4.95</v>
      </c>
      <c r="X56" s="591"/>
      <c r="Y56" s="185"/>
      <c r="Z56" s="558" t="s">
        <v>2</v>
      </c>
      <c r="AA56" s="646"/>
      <c r="AB56" s="559">
        <f t="shared" ref="AB56" si="36">V56/W56</f>
        <v>1.0101010101010102</v>
      </c>
      <c r="AC56" s="185"/>
      <c r="AD56" s="605"/>
      <c r="AE56" s="185"/>
      <c r="AF56" s="185"/>
      <c r="AG56" s="560"/>
      <c r="AH56" s="100"/>
      <c r="AI56" s="100"/>
      <c r="AJ56" s="560"/>
      <c r="AK56" s="100"/>
      <c r="AL56" s="100"/>
      <c r="AM56" s="560"/>
      <c r="AN56" s="185"/>
      <c r="AO56" s="185"/>
      <c r="AP56" s="185"/>
      <c r="AQ56" s="185"/>
      <c r="AR56" s="185"/>
      <c r="AS56" s="185"/>
      <c r="AT56" s="185"/>
      <c r="AU56" s="185"/>
      <c r="AV56" s="185"/>
      <c r="AW56" s="185"/>
      <c r="AX56" s="185"/>
      <c r="AY56" s="185"/>
      <c r="AZ56" s="185"/>
    </row>
    <row r="57" spans="1:52" s="561" customFormat="1" ht="18.75" thickBot="1" x14ac:dyDescent="0.35">
      <c r="A57" s="185"/>
      <c r="B57" s="704"/>
      <c r="C57" s="583" t="s">
        <v>616</v>
      </c>
      <c r="D57" s="584" t="s">
        <v>336</v>
      </c>
      <c r="E57" s="594" t="s">
        <v>324</v>
      </c>
      <c r="F57" s="584">
        <v>1</v>
      </c>
      <c r="G57" s="584">
        <v>1</v>
      </c>
      <c r="H57" s="585" t="s">
        <v>617</v>
      </c>
      <c r="I57" s="595" t="s">
        <v>84</v>
      </c>
      <c r="J57" s="595" t="s">
        <v>364</v>
      </c>
      <c r="K57" s="595" t="s">
        <v>364</v>
      </c>
      <c r="L57" s="595" t="s">
        <v>364</v>
      </c>
      <c r="M57" s="595" t="s">
        <v>364</v>
      </c>
      <c r="N57" s="595" t="s">
        <v>364</v>
      </c>
      <c r="O57" s="595" t="s">
        <v>364</v>
      </c>
      <c r="P57" s="595" t="s">
        <v>364</v>
      </c>
      <c r="Q57" s="595" t="s">
        <v>364</v>
      </c>
      <c r="R57" s="587" t="s">
        <v>2</v>
      </c>
      <c r="S57" s="587" t="s">
        <v>2</v>
      </c>
      <c r="T57" s="587" t="s">
        <v>2</v>
      </c>
      <c r="U57" s="588">
        <v>25.21</v>
      </c>
      <c r="V57" s="589">
        <f>ROUND(U57*(1.19),2)</f>
        <v>30</v>
      </c>
      <c r="W57" s="590">
        <v>29.95</v>
      </c>
      <c r="X57" s="827"/>
      <c r="Y57" s="185"/>
      <c r="Z57" s="558" t="s">
        <v>2</v>
      </c>
      <c r="AA57" s="646"/>
      <c r="AB57" s="559">
        <f t="shared" ref="AB57" si="37">V57/W57</f>
        <v>1.001669449081803</v>
      </c>
      <c r="AC57" s="185"/>
      <c r="AD57" s="605"/>
      <c r="AE57" s="185"/>
      <c r="AF57" s="185"/>
      <c r="AG57" s="560"/>
      <c r="AH57" s="100"/>
      <c r="AI57" s="100"/>
      <c r="AJ57" s="560"/>
      <c r="AK57" s="100"/>
      <c r="AL57" s="100"/>
      <c r="AM57" s="560"/>
      <c r="AN57" s="185"/>
      <c r="AO57" s="185"/>
      <c r="AP57" s="185"/>
      <c r="AQ57" s="185"/>
      <c r="AR57" s="185"/>
      <c r="AS57" s="185"/>
      <c r="AT57" s="185"/>
      <c r="AU57" s="185"/>
      <c r="AV57" s="185"/>
      <c r="AW57" s="185"/>
      <c r="AX57" s="185"/>
      <c r="AY57" s="185"/>
      <c r="AZ57" s="185"/>
    </row>
    <row r="58" spans="1:52" s="561" customFormat="1" ht="18.75" hidden="1" outlineLevel="1" thickBot="1" x14ac:dyDescent="0.35">
      <c r="A58" s="185"/>
      <c r="B58" s="667"/>
      <c r="C58" s="562" t="s">
        <v>390</v>
      </c>
      <c r="D58" s="563" t="s">
        <v>389</v>
      </c>
      <c r="E58" s="563" t="s">
        <v>324</v>
      </c>
      <c r="F58" s="563" t="s">
        <v>324</v>
      </c>
      <c r="G58" s="563" t="s">
        <v>324</v>
      </c>
      <c r="H58" s="564" t="s">
        <v>333</v>
      </c>
      <c r="I58" s="596" t="s">
        <v>84</v>
      </c>
      <c r="J58" s="596" t="str">
        <f>IF(SUMIFS($U$8:$U$49,$B$8:$B$49,"x",J$8:J$49,"Add-On")+SUMIFS($U$59:$U$67,$B$59:$B$67,"x",J$59:J$67,"Add-On")&gt;=50,"Enthalten","Add-On")</f>
        <v>Add-On</v>
      </c>
      <c r="K58" s="511" t="s">
        <v>364</v>
      </c>
      <c r="L58" s="511" t="s">
        <v>364</v>
      </c>
      <c r="M58" s="511" t="s">
        <v>364</v>
      </c>
      <c r="N58" s="511" t="s">
        <v>364</v>
      </c>
      <c r="O58" s="511" t="s">
        <v>364</v>
      </c>
      <c r="P58" s="511" t="s">
        <v>364</v>
      </c>
      <c r="Q58" s="511" t="s">
        <v>364</v>
      </c>
      <c r="R58" s="511" t="s">
        <v>364</v>
      </c>
      <c r="S58" s="511" t="s">
        <v>364</v>
      </c>
      <c r="T58" s="511" t="s">
        <v>364</v>
      </c>
      <c r="U58" s="565">
        <v>0</v>
      </c>
      <c r="V58" s="642">
        <f>ROUND(U58*(1+$W$6),2)</f>
        <v>0</v>
      </c>
      <c r="W58" s="652">
        <v>0</v>
      </c>
      <c r="X58" s="676" t="s">
        <v>391</v>
      </c>
      <c r="Y58" s="185"/>
      <c r="Z58" s="558" t="s">
        <v>2</v>
      </c>
      <c r="AA58" s="646">
        <f>SUM(AA62:AA65)</f>
        <v>48</v>
      </c>
      <c r="AB58" s="559" t="e">
        <f t="shared" ref="AB58:AB67" si="38">V58/W58</f>
        <v>#DIV/0!</v>
      </c>
      <c r="AC58" s="185"/>
      <c r="AD58" s="605"/>
      <c r="AE58" s="185"/>
      <c r="AF58" s="185"/>
      <c r="AG58" s="560"/>
      <c r="AH58" s="100"/>
      <c r="AI58" s="100"/>
      <c r="AJ58" s="560"/>
      <c r="AK58" s="100"/>
      <c r="AL58" s="100"/>
      <c r="AM58" s="560"/>
      <c r="AN58" s="185"/>
      <c r="AO58" s="185"/>
      <c r="AP58" s="185"/>
      <c r="AQ58" s="185"/>
      <c r="AR58" s="185"/>
      <c r="AS58" s="185"/>
      <c r="AT58" s="185"/>
      <c r="AU58" s="185"/>
      <c r="AV58" s="185"/>
      <c r="AW58" s="185"/>
      <c r="AX58" s="185"/>
      <c r="AY58" s="185"/>
      <c r="AZ58" s="185"/>
    </row>
    <row r="59" spans="1:52" s="49" customFormat="1" ht="18" hidden="1" customHeight="1" outlineLevel="1" x14ac:dyDescent="0.3">
      <c r="A59" s="99"/>
      <c r="B59" s="608" t="s">
        <v>357</v>
      </c>
      <c r="C59" s="701" t="s">
        <v>520</v>
      </c>
      <c r="D59" s="643" t="s">
        <v>336</v>
      </c>
      <c r="E59" s="200" t="s">
        <v>324</v>
      </c>
      <c r="F59" s="200">
        <v>1</v>
      </c>
      <c r="G59" s="200">
        <v>1</v>
      </c>
      <c r="H59" s="201" t="s">
        <v>334</v>
      </c>
      <c r="I59" s="493" t="s">
        <v>90</v>
      </c>
      <c r="J59" s="493" t="s">
        <v>90</v>
      </c>
      <c r="K59" s="266" t="s">
        <v>90</v>
      </c>
      <c r="L59" s="266" t="s">
        <v>90</v>
      </c>
      <c r="M59" s="266" t="s">
        <v>90</v>
      </c>
      <c r="N59" s="266" t="s">
        <v>90</v>
      </c>
      <c r="O59" s="266"/>
      <c r="P59" s="266"/>
      <c r="Q59" s="266"/>
      <c r="R59" s="266"/>
      <c r="S59" s="266"/>
      <c r="T59" s="266" t="s">
        <v>90</v>
      </c>
      <c r="U59" s="260" t="s">
        <v>3</v>
      </c>
      <c r="V59" s="260" t="s">
        <v>3</v>
      </c>
      <c r="W59" s="651" t="s">
        <v>3</v>
      </c>
      <c r="X59" s="203" t="s">
        <v>335</v>
      </c>
      <c r="Y59" s="99"/>
      <c r="Z59" s="419" t="s">
        <v>2</v>
      </c>
      <c r="AA59" s="644" t="str">
        <f t="shared" ref="AA59" si="39">D59</f>
        <v>+?</v>
      </c>
      <c r="AB59" s="546" t="e">
        <f>V59/W59</f>
        <v>#VALUE!</v>
      </c>
      <c r="AC59" s="418"/>
      <c r="AD59" s="605"/>
      <c r="AE59" s="99"/>
      <c r="AF59" s="99"/>
      <c r="AG59" s="99"/>
      <c r="AH59" s="100"/>
      <c r="AI59" s="100"/>
      <c r="AJ59" s="99"/>
      <c r="AK59" s="100"/>
      <c r="AL59" s="100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</row>
    <row r="60" spans="1:52" s="49" customFormat="1" ht="18" hidden="1" customHeight="1" outlineLevel="1" x14ac:dyDescent="0.3">
      <c r="A60" s="99"/>
      <c r="B60" s="99"/>
      <c r="C60" s="701" t="s">
        <v>521</v>
      </c>
      <c r="D60" s="617">
        <v>55</v>
      </c>
      <c r="E60" s="435">
        <v>1</v>
      </c>
      <c r="F60" s="435" t="s">
        <v>324</v>
      </c>
      <c r="G60" s="435" t="s">
        <v>324</v>
      </c>
      <c r="H60" s="436" t="s">
        <v>334</v>
      </c>
      <c r="I60" s="494" t="s">
        <v>90</v>
      </c>
      <c r="J60" s="494" t="s">
        <v>90</v>
      </c>
      <c r="K60" s="437" t="s">
        <v>90</v>
      </c>
      <c r="L60" s="437" t="s">
        <v>90</v>
      </c>
      <c r="M60" s="437" t="s">
        <v>90</v>
      </c>
      <c r="N60" s="437" t="s">
        <v>90</v>
      </c>
      <c r="O60" s="437"/>
      <c r="P60" s="437"/>
      <c r="Q60" s="437"/>
      <c r="R60" s="437"/>
      <c r="S60" s="437"/>
      <c r="T60" s="437" t="s">
        <v>90</v>
      </c>
      <c r="U60" s="438" t="s">
        <v>3</v>
      </c>
      <c r="V60" s="438" t="s">
        <v>3</v>
      </c>
      <c r="W60" s="439" t="s">
        <v>3</v>
      </c>
      <c r="X60" s="440" t="s">
        <v>335</v>
      </c>
      <c r="Y60" s="99"/>
      <c r="Z60" s="419" t="s">
        <v>2</v>
      </c>
      <c r="AA60" s="650" t="s">
        <v>338</v>
      </c>
      <c r="AB60" s="546" t="e">
        <f>V60/W60</f>
        <v>#VALUE!</v>
      </c>
      <c r="AC60" s="418"/>
      <c r="AD60" s="605"/>
      <c r="AE60" s="99"/>
      <c r="AF60" s="99"/>
      <c r="AG60" s="99"/>
      <c r="AH60" s="100"/>
      <c r="AI60" s="100"/>
      <c r="AJ60" s="99"/>
      <c r="AK60" s="100"/>
      <c r="AL60" s="100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</row>
    <row r="61" spans="1:52" s="49" customFormat="1" ht="18" hidden="1" customHeight="1" outlineLevel="1" x14ac:dyDescent="0.3">
      <c r="A61" s="99"/>
      <c r="B61" s="608"/>
      <c r="C61" s="701" t="s">
        <v>522</v>
      </c>
      <c r="D61" s="555" t="s">
        <v>324</v>
      </c>
      <c r="E61" s="200" t="s">
        <v>324</v>
      </c>
      <c r="F61" s="200" t="s">
        <v>324</v>
      </c>
      <c r="G61" s="200" t="s">
        <v>324</v>
      </c>
      <c r="H61" s="201" t="s">
        <v>334</v>
      </c>
      <c r="I61" s="493" t="s">
        <v>90</v>
      </c>
      <c r="J61" s="493" t="s">
        <v>90</v>
      </c>
      <c r="K61" s="266" t="s">
        <v>90</v>
      </c>
      <c r="L61" s="266" t="s">
        <v>90</v>
      </c>
      <c r="M61" s="266" t="s">
        <v>90</v>
      </c>
      <c r="N61" s="266" t="s">
        <v>90</v>
      </c>
      <c r="O61" s="266"/>
      <c r="P61" s="266"/>
      <c r="Q61" s="266"/>
      <c r="R61" s="266"/>
      <c r="S61" s="266"/>
      <c r="T61" s="266" t="s">
        <v>90</v>
      </c>
      <c r="U61" s="260" t="s">
        <v>3</v>
      </c>
      <c r="V61" s="260" t="s">
        <v>3</v>
      </c>
      <c r="W61" s="202" t="s">
        <v>3</v>
      </c>
      <c r="X61" s="203" t="s">
        <v>335</v>
      </c>
      <c r="Y61" s="99"/>
      <c r="Z61" s="419" t="s">
        <v>2</v>
      </c>
      <c r="AA61" s="644" t="str">
        <f t="shared" ref="AA61" si="40">D61</f>
        <v>/</v>
      </c>
      <c r="AB61" s="546" t="e">
        <f>V61/W61</f>
        <v>#VALUE!</v>
      </c>
      <c r="AC61" s="418"/>
      <c r="AD61" s="605"/>
      <c r="AE61" s="99"/>
      <c r="AF61" s="99"/>
      <c r="AG61" s="99"/>
      <c r="AH61" s="100"/>
      <c r="AI61" s="100"/>
      <c r="AJ61" s="99"/>
      <c r="AK61" s="100"/>
      <c r="AL61" s="100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</row>
    <row r="62" spans="1:52" s="49" customFormat="1" ht="18" hidden="1" customHeight="1" outlineLevel="1" x14ac:dyDescent="0.3">
      <c r="A62" s="99"/>
      <c r="B62" s="99"/>
      <c r="C62" s="701" t="s">
        <v>523</v>
      </c>
      <c r="D62" s="606" t="s">
        <v>387</v>
      </c>
      <c r="E62" s="200" t="s">
        <v>324</v>
      </c>
      <c r="F62" s="200" t="s">
        <v>324</v>
      </c>
      <c r="G62" s="200" t="s">
        <v>324</v>
      </c>
      <c r="H62" s="201" t="s">
        <v>334</v>
      </c>
      <c r="I62" s="493" t="s">
        <v>90</v>
      </c>
      <c r="J62" s="493" t="s">
        <v>90</v>
      </c>
      <c r="K62" s="266" t="s">
        <v>90</v>
      </c>
      <c r="L62" s="266" t="s">
        <v>90</v>
      </c>
      <c r="M62" s="266" t="s">
        <v>90</v>
      </c>
      <c r="N62" s="266" t="s">
        <v>90</v>
      </c>
      <c r="O62" s="266"/>
      <c r="P62" s="266"/>
      <c r="Q62" s="266"/>
      <c r="R62" s="266"/>
      <c r="S62" s="266"/>
      <c r="T62" s="266" t="s">
        <v>90</v>
      </c>
      <c r="U62" s="260" t="s">
        <v>3</v>
      </c>
      <c r="V62" s="260" t="s">
        <v>3</v>
      </c>
      <c r="W62" s="202" t="s">
        <v>3</v>
      </c>
      <c r="X62" s="203" t="s">
        <v>335</v>
      </c>
      <c r="Y62" s="99"/>
      <c r="Z62" s="419" t="s">
        <v>2</v>
      </c>
      <c r="AA62" s="644">
        <v>18</v>
      </c>
      <c r="AB62" s="546" t="e">
        <f>V62/W62</f>
        <v>#VALUE!</v>
      </c>
      <c r="AC62" s="418"/>
      <c r="AD62" s="605"/>
      <c r="AE62" s="99"/>
      <c r="AF62" s="99"/>
      <c r="AG62" s="99"/>
      <c r="AH62" s="100"/>
      <c r="AI62" s="100"/>
      <c r="AJ62" s="99"/>
      <c r="AK62" s="100"/>
      <c r="AL62" s="100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</row>
    <row r="63" spans="1:52" s="49" customFormat="1" ht="18" hidden="1" customHeight="1" outlineLevel="1" x14ac:dyDescent="0.3">
      <c r="A63" s="99"/>
      <c r="B63" s="99"/>
      <c r="C63" s="701" t="s">
        <v>524</v>
      </c>
      <c r="D63" s="606" t="s">
        <v>387</v>
      </c>
      <c r="E63" s="200" t="s">
        <v>324</v>
      </c>
      <c r="F63" s="200" t="s">
        <v>324</v>
      </c>
      <c r="G63" s="200" t="s">
        <v>324</v>
      </c>
      <c r="H63" s="201" t="s">
        <v>334</v>
      </c>
      <c r="I63" s="493" t="s">
        <v>90</v>
      </c>
      <c r="J63" s="493" t="s">
        <v>90</v>
      </c>
      <c r="K63" s="266" t="s">
        <v>90</v>
      </c>
      <c r="L63" s="266" t="s">
        <v>90</v>
      </c>
      <c r="M63" s="266" t="s">
        <v>90</v>
      </c>
      <c r="N63" s="266" t="s">
        <v>90</v>
      </c>
      <c r="O63" s="266"/>
      <c r="P63" s="266"/>
      <c r="Q63" s="266"/>
      <c r="R63" s="266"/>
      <c r="S63" s="266"/>
      <c r="T63" s="266" t="s">
        <v>90</v>
      </c>
      <c r="U63" s="260" t="s">
        <v>3</v>
      </c>
      <c r="V63" s="260" t="s">
        <v>3</v>
      </c>
      <c r="W63" s="202" t="s">
        <v>3</v>
      </c>
      <c r="X63" s="203" t="s">
        <v>335</v>
      </c>
      <c r="Y63" s="99"/>
      <c r="Z63" s="419" t="s">
        <v>2</v>
      </c>
      <c r="AA63" s="644">
        <v>18</v>
      </c>
      <c r="AB63" s="546" t="e">
        <f>V63/W63</f>
        <v>#VALUE!</v>
      </c>
      <c r="AC63" s="418"/>
      <c r="AD63" s="605"/>
      <c r="AE63" s="99"/>
      <c r="AF63" s="99"/>
      <c r="AG63" s="99"/>
      <c r="AH63" s="100"/>
      <c r="AI63" s="100"/>
      <c r="AJ63" s="99"/>
      <c r="AK63" s="100"/>
      <c r="AL63" s="100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</row>
    <row r="64" spans="1:52" s="45" customFormat="1" ht="18" hidden="1" outlineLevel="1" x14ac:dyDescent="0.3">
      <c r="A64" s="98"/>
      <c r="B64" s="98"/>
      <c r="C64" s="701" t="s">
        <v>525</v>
      </c>
      <c r="D64" s="643" t="s">
        <v>388</v>
      </c>
      <c r="E64" s="200" t="s">
        <v>324</v>
      </c>
      <c r="F64" s="200" t="s">
        <v>324</v>
      </c>
      <c r="G64" s="200" t="s">
        <v>324</v>
      </c>
      <c r="H64" s="201" t="s">
        <v>334</v>
      </c>
      <c r="I64" s="493" t="s">
        <v>90</v>
      </c>
      <c r="J64" s="493" t="s">
        <v>90</v>
      </c>
      <c r="K64" s="266" t="s">
        <v>90</v>
      </c>
      <c r="L64" s="266" t="s">
        <v>90</v>
      </c>
      <c r="M64" s="266" t="s">
        <v>90</v>
      </c>
      <c r="N64" s="266" t="s">
        <v>90</v>
      </c>
      <c r="O64" s="266"/>
      <c r="P64" s="266"/>
      <c r="Q64" s="266"/>
      <c r="R64" s="266"/>
      <c r="S64" s="266"/>
      <c r="T64" s="266" t="s">
        <v>90</v>
      </c>
      <c r="U64" s="260" t="s">
        <v>3</v>
      </c>
      <c r="V64" s="260" t="s">
        <v>3</v>
      </c>
      <c r="W64" s="202" t="s">
        <v>3</v>
      </c>
      <c r="X64" s="203" t="s">
        <v>335</v>
      </c>
      <c r="Y64" s="98"/>
      <c r="Z64" s="419" t="s">
        <v>2</v>
      </c>
      <c r="AA64" s="650">
        <v>12</v>
      </c>
      <c r="AB64" s="546" t="e">
        <f t="shared" ref="AB64" si="41">V64/W64</f>
        <v>#VALUE!</v>
      </c>
      <c r="AC64" s="418"/>
      <c r="AD64" s="605"/>
      <c r="AE64" s="98"/>
      <c r="AF64" s="98"/>
      <c r="AG64" s="99"/>
      <c r="AH64" s="100"/>
      <c r="AI64" s="100"/>
      <c r="AJ64" s="99"/>
      <c r="AK64" s="100"/>
      <c r="AL64" s="100"/>
      <c r="AM64" s="99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</row>
    <row r="65" spans="1:52" s="45" customFormat="1" ht="18" hidden="1" outlineLevel="1" x14ac:dyDescent="0.3">
      <c r="A65" s="98"/>
      <c r="B65" s="98"/>
      <c r="C65" s="701" t="s">
        <v>526</v>
      </c>
      <c r="D65" s="555" t="s">
        <v>324</v>
      </c>
      <c r="E65" s="200" t="s">
        <v>324</v>
      </c>
      <c r="F65" s="200" t="s">
        <v>324</v>
      </c>
      <c r="G65" s="200" t="s">
        <v>324</v>
      </c>
      <c r="H65" s="201" t="s">
        <v>334</v>
      </c>
      <c r="I65" s="493" t="s">
        <v>90</v>
      </c>
      <c r="J65" s="493" t="s">
        <v>90</v>
      </c>
      <c r="K65" s="266" t="s">
        <v>90</v>
      </c>
      <c r="L65" s="266" t="s">
        <v>90</v>
      </c>
      <c r="M65" s="266" t="s">
        <v>90</v>
      </c>
      <c r="N65" s="266" t="s">
        <v>90</v>
      </c>
      <c r="O65" s="266"/>
      <c r="P65" s="266"/>
      <c r="Q65" s="266"/>
      <c r="R65" s="266"/>
      <c r="S65" s="266"/>
      <c r="T65" s="266" t="s">
        <v>90</v>
      </c>
      <c r="U65" s="260" t="s">
        <v>3</v>
      </c>
      <c r="V65" s="260" t="s">
        <v>3</v>
      </c>
      <c r="W65" s="202" t="s">
        <v>3</v>
      </c>
      <c r="X65" s="203" t="s">
        <v>335</v>
      </c>
      <c r="Y65" s="98"/>
      <c r="Z65" s="419" t="s">
        <v>2</v>
      </c>
      <c r="AA65" s="644"/>
      <c r="AB65" s="546" t="e">
        <f t="shared" si="38"/>
        <v>#VALUE!</v>
      </c>
      <c r="AC65" s="418"/>
      <c r="AD65" s="605"/>
      <c r="AE65" s="98"/>
      <c r="AF65" s="98"/>
      <c r="AG65" s="99"/>
      <c r="AH65" s="100"/>
      <c r="AI65" s="100"/>
      <c r="AJ65" s="99"/>
      <c r="AK65" s="100"/>
      <c r="AL65" s="100"/>
      <c r="AM65" s="99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</row>
    <row r="66" spans="1:52" s="45" customFormat="1" ht="18" hidden="1" outlineLevel="1" x14ac:dyDescent="0.3">
      <c r="A66" s="98"/>
      <c r="B66" s="98"/>
      <c r="C66" s="701" t="s">
        <v>526</v>
      </c>
      <c r="D66" s="200"/>
      <c r="E66" s="200"/>
      <c r="F66" s="200"/>
      <c r="G66" s="200"/>
      <c r="H66" s="201" t="s">
        <v>334</v>
      </c>
      <c r="I66" s="493" t="s">
        <v>90</v>
      </c>
      <c r="J66" s="493" t="s">
        <v>90</v>
      </c>
      <c r="K66" s="266" t="s">
        <v>90</v>
      </c>
      <c r="L66" s="266" t="s">
        <v>90</v>
      </c>
      <c r="M66" s="266" t="s">
        <v>90</v>
      </c>
      <c r="N66" s="266" t="s">
        <v>90</v>
      </c>
      <c r="O66" s="266"/>
      <c r="P66" s="266"/>
      <c r="Q66" s="266"/>
      <c r="R66" s="266"/>
      <c r="S66" s="266"/>
      <c r="T66" s="266" t="s">
        <v>90</v>
      </c>
      <c r="U66" s="260" t="s">
        <v>3</v>
      </c>
      <c r="V66" s="260" t="s">
        <v>3</v>
      </c>
      <c r="W66" s="202" t="s">
        <v>3</v>
      </c>
      <c r="X66" s="203" t="s">
        <v>335</v>
      </c>
      <c r="Y66" s="98"/>
      <c r="Z66" s="419" t="s">
        <v>2</v>
      </c>
      <c r="AA66" s="644">
        <f t="shared" si="30"/>
        <v>0</v>
      </c>
      <c r="AB66" s="546" t="e">
        <f t="shared" si="38"/>
        <v>#VALUE!</v>
      </c>
      <c r="AC66" s="418"/>
      <c r="AD66" s="605"/>
      <c r="AE66" s="98"/>
      <c r="AF66" s="98"/>
      <c r="AG66" s="99"/>
      <c r="AH66" s="100"/>
      <c r="AI66" s="100"/>
      <c r="AJ66" s="99"/>
      <c r="AK66" s="100"/>
      <c r="AL66" s="100"/>
      <c r="AM66" s="99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</row>
    <row r="67" spans="1:52" s="45" customFormat="1" ht="18" hidden="1" outlineLevel="1" x14ac:dyDescent="0.3">
      <c r="A67" s="98"/>
      <c r="B67" s="98"/>
      <c r="C67" s="701" t="s">
        <v>526</v>
      </c>
      <c r="D67" s="200"/>
      <c r="E67" s="200"/>
      <c r="F67" s="200"/>
      <c r="G67" s="200"/>
      <c r="H67" s="201" t="s">
        <v>334</v>
      </c>
      <c r="I67" s="493" t="s">
        <v>90</v>
      </c>
      <c r="J67" s="493" t="s">
        <v>90</v>
      </c>
      <c r="K67" s="266" t="s">
        <v>90</v>
      </c>
      <c r="L67" s="266" t="s">
        <v>90</v>
      </c>
      <c r="M67" s="266" t="s">
        <v>90</v>
      </c>
      <c r="N67" s="266" t="s">
        <v>90</v>
      </c>
      <c r="O67" s="266"/>
      <c r="P67" s="266"/>
      <c r="Q67" s="266"/>
      <c r="R67" s="266"/>
      <c r="S67" s="266"/>
      <c r="T67" s="266" t="s">
        <v>90</v>
      </c>
      <c r="U67" s="260" t="s">
        <v>3</v>
      </c>
      <c r="V67" s="260" t="s">
        <v>3</v>
      </c>
      <c r="W67" s="202" t="s">
        <v>3</v>
      </c>
      <c r="X67" s="203" t="s">
        <v>335</v>
      </c>
      <c r="Y67" s="98"/>
      <c r="Z67" s="419" t="s">
        <v>2</v>
      </c>
      <c r="AA67" s="644">
        <f t="shared" si="30"/>
        <v>0</v>
      </c>
      <c r="AB67" s="546" t="e">
        <f t="shared" si="38"/>
        <v>#VALUE!</v>
      </c>
      <c r="AC67" s="418"/>
      <c r="AD67" s="605"/>
      <c r="AE67" s="98"/>
      <c r="AF67" s="98"/>
      <c r="AG67" s="99"/>
      <c r="AH67" s="100"/>
      <c r="AI67" s="100"/>
      <c r="AJ67" s="99"/>
      <c r="AK67" s="100"/>
      <c r="AL67" s="100"/>
      <c r="AM67" s="99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</row>
    <row r="68" spans="1:52" s="40" customFormat="1" ht="18" hidden="1" outlineLevel="1" collapsed="1" x14ac:dyDescent="0.3">
      <c r="A68" s="96"/>
      <c r="B68" s="613"/>
      <c r="C68" s="416" t="s">
        <v>445</v>
      </c>
      <c r="D68" s="158"/>
      <c r="E68" s="158"/>
      <c r="F68" s="158"/>
      <c r="G68" s="158"/>
      <c r="H68" s="143"/>
      <c r="I68" s="495"/>
      <c r="J68" s="495"/>
      <c r="K68" s="267"/>
      <c r="L68" s="267"/>
      <c r="M68" s="267"/>
      <c r="N68" s="267"/>
      <c r="O68" s="267"/>
      <c r="P68" s="267"/>
      <c r="Q68" s="267"/>
      <c r="R68" s="267"/>
      <c r="S68" s="267"/>
      <c r="T68" s="267"/>
      <c r="U68" s="486"/>
      <c r="V68" s="261"/>
      <c r="W68" s="144"/>
      <c r="X68" s="417"/>
      <c r="Y68" s="99"/>
      <c r="Z68" s="419" t="s">
        <v>2</v>
      </c>
      <c r="AA68" s="644">
        <f t="shared" si="30"/>
        <v>0</v>
      </c>
      <c r="AB68" s="546" t="e">
        <f t="shared" si="29"/>
        <v>#DIV/0!</v>
      </c>
      <c r="AC68" s="99"/>
      <c r="AD68" s="99"/>
      <c r="AE68" s="99"/>
      <c r="AF68" s="99"/>
      <c r="AG68" s="99"/>
      <c r="AH68" s="100"/>
      <c r="AI68" s="100"/>
      <c r="AJ68" s="99"/>
      <c r="AK68" s="100"/>
      <c r="AL68" s="100"/>
      <c r="AM68" s="99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</row>
    <row r="69" spans="1:52" s="40" customFormat="1" ht="18" hidden="1" outlineLevel="1" x14ac:dyDescent="0.3">
      <c r="A69" s="96"/>
      <c r="B69" s="614"/>
      <c r="C69" s="142" t="s">
        <v>430</v>
      </c>
      <c r="D69" s="158"/>
      <c r="E69" s="158"/>
      <c r="F69" s="158"/>
      <c r="G69" s="158"/>
      <c r="H69" s="143"/>
      <c r="I69" s="495" t="s">
        <v>84</v>
      </c>
      <c r="J69" s="495" t="s">
        <v>364</v>
      </c>
      <c r="K69" s="495" t="s">
        <v>364</v>
      </c>
      <c r="L69" s="495" t="s">
        <v>364</v>
      </c>
      <c r="M69" s="495" t="s">
        <v>364</v>
      </c>
      <c r="N69" s="495" t="s">
        <v>364</v>
      </c>
      <c r="O69" s="267" t="s">
        <v>364</v>
      </c>
      <c r="P69" s="267" t="s">
        <v>364</v>
      </c>
      <c r="Q69" s="267" t="s">
        <v>364</v>
      </c>
      <c r="R69" s="267" t="s">
        <v>364</v>
      </c>
      <c r="S69" s="267" t="s">
        <v>364</v>
      </c>
      <c r="T69" s="267" t="s">
        <v>364</v>
      </c>
      <c r="U69" s="486"/>
      <c r="V69" s="261">
        <f>ROUND(U69*(1+$W$6),2)</f>
        <v>0</v>
      </c>
      <c r="W69" s="144"/>
      <c r="X69" s="145" t="s">
        <v>139</v>
      </c>
      <c r="Y69" s="99"/>
      <c r="Z69" s="419" t="s">
        <v>2</v>
      </c>
      <c r="AA69" s="644">
        <f t="shared" si="30"/>
        <v>0</v>
      </c>
      <c r="AB69" s="546" t="e">
        <f t="shared" si="29"/>
        <v>#DIV/0!</v>
      </c>
      <c r="AC69" s="99"/>
      <c r="AD69" s="99"/>
      <c r="AE69" s="99"/>
      <c r="AF69" s="99"/>
      <c r="AG69" s="99"/>
      <c r="AH69" s="100"/>
      <c r="AI69" s="100"/>
      <c r="AJ69" s="99"/>
      <c r="AK69" s="100"/>
      <c r="AL69" s="100"/>
      <c r="AM69" s="99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</row>
    <row r="70" spans="1:52" s="40" customFormat="1" ht="18" hidden="1" outlineLevel="1" x14ac:dyDescent="0.3">
      <c r="A70" s="96"/>
      <c r="B70" s="614"/>
      <c r="C70" s="142" t="s">
        <v>431</v>
      </c>
      <c r="D70" s="158"/>
      <c r="E70" s="158"/>
      <c r="F70" s="158"/>
      <c r="G70" s="158"/>
      <c r="H70" s="143"/>
      <c r="I70" s="495" t="s">
        <v>84</v>
      </c>
      <c r="J70" s="495" t="s">
        <v>364</v>
      </c>
      <c r="K70" s="495" t="s">
        <v>364</v>
      </c>
      <c r="L70" s="495" t="s">
        <v>364</v>
      </c>
      <c r="M70" s="495" t="s">
        <v>364</v>
      </c>
      <c r="N70" s="495" t="s">
        <v>364</v>
      </c>
      <c r="O70" s="267" t="s">
        <v>364</v>
      </c>
      <c r="P70" s="267" t="s">
        <v>364</v>
      </c>
      <c r="Q70" s="267" t="s">
        <v>364</v>
      </c>
      <c r="R70" s="267" t="s">
        <v>364</v>
      </c>
      <c r="S70" s="267" t="s">
        <v>364</v>
      </c>
      <c r="T70" s="267" t="s">
        <v>364</v>
      </c>
      <c r="U70" s="486"/>
      <c r="V70" s="261">
        <f>ROUND(U70*(1+$W$6),2)</f>
        <v>0</v>
      </c>
      <c r="W70" s="144"/>
      <c r="X70" s="145" t="s">
        <v>139</v>
      </c>
      <c r="Y70" s="99"/>
      <c r="Z70" s="419"/>
      <c r="AA70" s="644"/>
      <c r="AB70" s="546"/>
      <c r="AC70" s="99"/>
      <c r="AD70" s="99"/>
      <c r="AE70" s="99"/>
      <c r="AF70" s="99"/>
      <c r="AG70" s="99"/>
      <c r="AH70" s="100"/>
      <c r="AI70" s="100"/>
      <c r="AJ70" s="99"/>
      <c r="AK70" s="100"/>
      <c r="AL70" s="100"/>
      <c r="AM70" s="99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</row>
    <row r="71" spans="1:52" s="40" customFormat="1" ht="18" hidden="1" outlineLevel="1" collapsed="1" x14ac:dyDescent="0.3">
      <c r="A71" s="96"/>
      <c r="B71" s="613"/>
      <c r="C71" s="416" t="s">
        <v>446</v>
      </c>
      <c r="D71" s="158"/>
      <c r="E71" s="158"/>
      <c r="F71" s="158"/>
      <c r="G71" s="158"/>
      <c r="H71" s="143"/>
      <c r="I71" s="495"/>
      <c r="J71" s="495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486"/>
      <c r="V71" s="261"/>
      <c r="W71" s="144"/>
      <c r="X71" s="417"/>
      <c r="Y71" s="99"/>
      <c r="Z71" s="419" t="s">
        <v>2</v>
      </c>
      <c r="AA71" s="644">
        <f t="shared" ref="AA71" si="42">D71</f>
        <v>0</v>
      </c>
      <c r="AB71" s="546" t="e">
        <f t="shared" ref="AB71" si="43">V71/W71</f>
        <v>#DIV/0!</v>
      </c>
      <c r="AC71" s="99"/>
      <c r="AD71" s="99"/>
      <c r="AE71" s="99"/>
      <c r="AF71" s="99"/>
      <c r="AG71" s="99"/>
      <c r="AH71" s="100"/>
      <c r="AI71" s="100"/>
      <c r="AJ71" s="99"/>
      <c r="AK71" s="100"/>
      <c r="AL71" s="100"/>
      <c r="AM71" s="99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</row>
    <row r="72" spans="1:52" s="40" customFormat="1" ht="18" hidden="1" outlineLevel="1" x14ac:dyDescent="0.3">
      <c r="A72" s="96"/>
      <c r="B72" s="614"/>
      <c r="C72" s="755" t="s">
        <v>433</v>
      </c>
      <c r="D72" s="158"/>
      <c r="E72" s="158"/>
      <c r="F72" s="158"/>
      <c r="G72" s="158"/>
      <c r="H72" s="143"/>
      <c r="I72" s="495" t="s">
        <v>84</v>
      </c>
      <c r="J72" s="495" t="s">
        <v>364</v>
      </c>
      <c r="K72" s="495" t="s">
        <v>364</v>
      </c>
      <c r="L72" s="495" t="s">
        <v>364</v>
      </c>
      <c r="M72" s="495" t="s">
        <v>364</v>
      </c>
      <c r="N72" s="495" t="s">
        <v>364</v>
      </c>
      <c r="O72" s="267" t="s">
        <v>364</v>
      </c>
      <c r="P72" s="267" t="s">
        <v>364</v>
      </c>
      <c r="Q72" s="267" t="s">
        <v>364</v>
      </c>
      <c r="R72" s="267" t="s">
        <v>364</v>
      </c>
      <c r="S72" s="267" t="s">
        <v>364</v>
      </c>
      <c r="T72" s="267" t="s">
        <v>364</v>
      </c>
      <c r="U72" s="486"/>
      <c r="V72" s="261">
        <f t="shared" ref="V72:V77" si="44">ROUND(U72*(1+$W$6),2)</f>
        <v>0</v>
      </c>
      <c r="W72" s="144"/>
      <c r="X72" s="145" t="s">
        <v>539</v>
      </c>
      <c r="Y72" s="99"/>
      <c r="Z72" s="419"/>
      <c r="AA72" s="644"/>
      <c r="AB72" s="546"/>
      <c r="AC72" s="99"/>
      <c r="AD72" s="99"/>
      <c r="AE72" s="99"/>
      <c r="AF72" s="99"/>
      <c r="AG72" s="99"/>
      <c r="AH72" s="100"/>
      <c r="AI72" s="100"/>
      <c r="AJ72" s="99"/>
      <c r="AK72" s="100"/>
      <c r="AL72" s="100"/>
      <c r="AM72" s="99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</row>
    <row r="73" spans="1:52" s="40" customFormat="1" ht="18" hidden="1" outlineLevel="1" x14ac:dyDescent="0.3">
      <c r="A73" s="96"/>
      <c r="B73" s="614"/>
      <c r="C73" s="755" t="s">
        <v>444</v>
      </c>
      <c r="D73" s="158"/>
      <c r="E73" s="158"/>
      <c r="F73" s="158"/>
      <c r="G73" s="158"/>
      <c r="H73" s="143" t="s">
        <v>542</v>
      </c>
      <c r="I73" s="495" t="s">
        <v>84</v>
      </c>
      <c r="J73" s="495" t="str">
        <f>IF($B$72="x","enthalten","Add-On")</f>
        <v>Add-On</v>
      </c>
      <c r="K73" s="495" t="str">
        <f t="shared" ref="K73:T73" si="45">IF($B$72="x","enthalten","Add-On")</f>
        <v>Add-On</v>
      </c>
      <c r="L73" s="495" t="str">
        <f t="shared" si="45"/>
        <v>Add-On</v>
      </c>
      <c r="M73" s="495" t="str">
        <f t="shared" si="45"/>
        <v>Add-On</v>
      </c>
      <c r="N73" s="495" t="str">
        <f t="shared" si="45"/>
        <v>Add-On</v>
      </c>
      <c r="O73" s="495" t="str">
        <f t="shared" si="45"/>
        <v>Add-On</v>
      </c>
      <c r="P73" s="495" t="str">
        <f t="shared" si="45"/>
        <v>Add-On</v>
      </c>
      <c r="Q73" s="495" t="str">
        <f t="shared" si="45"/>
        <v>Add-On</v>
      </c>
      <c r="R73" s="495" t="str">
        <f t="shared" si="45"/>
        <v>Add-On</v>
      </c>
      <c r="S73" s="495" t="str">
        <f t="shared" si="45"/>
        <v>Add-On</v>
      </c>
      <c r="T73" s="495" t="str">
        <f t="shared" si="45"/>
        <v>Add-On</v>
      </c>
      <c r="U73" s="486"/>
      <c r="V73" s="261">
        <f t="shared" si="44"/>
        <v>0</v>
      </c>
      <c r="W73" s="144"/>
      <c r="X73" s="145" t="s">
        <v>139</v>
      </c>
      <c r="Y73" s="99"/>
      <c r="Z73" s="419"/>
      <c r="AA73" s="644"/>
      <c r="AB73" s="546"/>
      <c r="AC73" s="99"/>
      <c r="AD73" s="99"/>
      <c r="AE73" s="99"/>
      <c r="AF73" s="99"/>
      <c r="AG73" s="99"/>
      <c r="AH73" s="100"/>
      <c r="AI73" s="100"/>
      <c r="AJ73" s="99"/>
      <c r="AK73" s="100"/>
      <c r="AL73" s="100"/>
      <c r="AM73" s="99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</row>
    <row r="74" spans="1:52" s="40" customFormat="1" ht="18" hidden="1" outlineLevel="1" x14ac:dyDescent="0.3">
      <c r="A74" s="96"/>
      <c r="B74" s="614"/>
      <c r="C74" s="142" t="s">
        <v>450</v>
      </c>
      <c r="D74" s="158"/>
      <c r="E74" s="158"/>
      <c r="F74" s="158"/>
      <c r="G74" s="158"/>
      <c r="H74" s="143"/>
      <c r="I74" s="495" t="s">
        <v>84</v>
      </c>
      <c r="J74" s="495" t="s">
        <v>364</v>
      </c>
      <c r="K74" s="495" t="s">
        <v>364</v>
      </c>
      <c r="L74" s="495" t="s">
        <v>364</v>
      </c>
      <c r="M74" s="495" t="s">
        <v>364</v>
      </c>
      <c r="N74" s="495" t="s">
        <v>364</v>
      </c>
      <c r="O74" s="495" t="s">
        <v>364</v>
      </c>
      <c r="P74" s="495" t="s">
        <v>364</v>
      </c>
      <c r="Q74" s="495" t="s">
        <v>364</v>
      </c>
      <c r="R74" s="495" t="s">
        <v>364</v>
      </c>
      <c r="S74" s="495" t="s">
        <v>364</v>
      </c>
      <c r="T74" s="495" t="s">
        <v>364</v>
      </c>
      <c r="U74" s="486"/>
      <c r="V74" s="261">
        <f t="shared" si="44"/>
        <v>0</v>
      </c>
      <c r="W74" s="144"/>
      <c r="X74" s="145" t="s">
        <v>139</v>
      </c>
      <c r="Y74" s="99"/>
      <c r="Z74" s="419"/>
      <c r="AA74" s="644"/>
      <c r="AB74" s="546"/>
      <c r="AC74" s="99"/>
      <c r="AD74" s="99"/>
      <c r="AE74" s="99"/>
      <c r="AF74" s="99"/>
      <c r="AG74" s="99"/>
      <c r="AH74" s="100"/>
      <c r="AI74" s="100"/>
      <c r="AJ74" s="99"/>
      <c r="AK74" s="100"/>
      <c r="AL74" s="100"/>
      <c r="AM74" s="99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</row>
    <row r="75" spans="1:52" s="40" customFormat="1" ht="18" hidden="1" outlineLevel="1" x14ac:dyDescent="0.3">
      <c r="A75" s="96"/>
      <c r="B75" s="614"/>
      <c r="C75" s="755" t="s">
        <v>435</v>
      </c>
      <c r="D75" s="158"/>
      <c r="E75" s="158"/>
      <c r="F75" s="158"/>
      <c r="G75" s="158"/>
      <c r="H75" s="143" t="s">
        <v>542</v>
      </c>
      <c r="I75" s="495" t="s">
        <v>84</v>
      </c>
      <c r="J75" s="495" t="str">
        <f t="shared" ref="J75:T76" si="46">IF($B$72="x","enthalten","Add-On")</f>
        <v>Add-On</v>
      </c>
      <c r="K75" s="495" t="str">
        <f t="shared" si="46"/>
        <v>Add-On</v>
      </c>
      <c r="L75" s="495" t="str">
        <f t="shared" si="46"/>
        <v>Add-On</v>
      </c>
      <c r="M75" s="495" t="str">
        <f t="shared" si="46"/>
        <v>Add-On</v>
      </c>
      <c r="N75" s="495" t="str">
        <f t="shared" si="46"/>
        <v>Add-On</v>
      </c>
      <c r="O75" s="495" t="str">
        <f t="shared" si="46"/>
        <v>Add-On</v>
      </c>
      <c r="P75" s="495" t="str">
        <f t="shared" si="46"/>
        <v>Add-On</v>
      </c>
      <c r="Q75" s="495" t="str">
        <f t="shared" si="46"/>
        <v>Add-On</v>
      </c>
      <c r="R75" s="495" t="str">
        <f t="shared" si="46"/>
        <v>Add-On</v>
      </c>
      <c r="S75" s="495" t="str">
        <f t="shared" si="46"/>
        <v>Add-On</v>
      </c>
      <c r="T75" s="495" t="str">
        <f t="shared" si="46"/>
        <v>Add-On</v>
      </c>
      <c r="U75" s="486"/>
      <c r="V75" s="261">
        <f t="shared" si="44"/>
        <v>0</v>
      </c>
      <c r="W75" s="144"/>
      <c r="X75" s="145" t="s">
        <v>139</v>
      </c>
      <c r="Y75" s="99"/>
      <c r="Z75" s="419"/>
      <c r="AA75" s="644"/>
      <c r="AB75" s="546"/>
      <c r="AC75" s="99"/>
      <c r="AD75" s="99"/>
      <c r="AE75" s="99"/>
      <c r="AF75" s="99"/>
      <c r="AG75" s="99"/>
      <c r="AH75" s="100"/>
      <c r="AI75" s="100"/>
      <c r="AJ75" s="99"/>
      <c r="AK75" s="100"/>
      <c r="AL75" s="100"/>
      <c r="AM75" s="99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</row>
    <row r="76" spans="1:52" s="40" customFormat="1" ht="18" hidden="1" outlineLevel="1" x14ac:dyDescent="0.3">
      <c r="A76" s="96"/>
      <c r="B76" s="614"/>
      <c r="C76" s="755" t="s">
        <v>443</v>
      </c>
      <c r="D76" s="158"/>
      <c r="E76" s="158"/>
      <c r="F76" s="158"/>
      <c r="G76" s="158"/>
      <c r="H76" s="143" t="s">
        <v>542</v>
      </c>
      <c r="I76" s="495" t="s">
        <v>84</v>
      </c>
      <c r="J76" s="495" t="str">
        <f t="shared" si="46"/>
        <v>Add-On</v>
      </c>
      <c r="K76" s="495" t="str">
        <f t="shared" si="46"/>
        <v>Add-On</v>
      </c>
      <c r="L76" s="495" t="str">
        <f t="shared" si="46"/>
        <v>Add-On</v>
      </c>
      <c r="M76" s="495" t="str">
        <f t="shared" si="46"/>
        <v>Add-On</v>
      </c>
      <c r="N76" s="495" t="str">
        <f t="shared" si="46"/>
        <v>Add-On</v>
      </c>
      <c r="O76" s="495" t="str">
        <f t="shared" si="46"/>
        <v>Add-On</v>
      </c>
      <c r="P76" s="495" t="str">
        <f t="shared" si="46"/>
        <v>Add-On</v>
      </c>
      <c r="Q76" s="495" t="str">
        <f t="shared" si="46"/>
        <v>Add-On</v>
      </c>
      <c r="R76" s="495" t="str">
        <f t="shared" si="46"/>
        <v>Add-On</v>
      </c>
      <c r="S76" s="495" t="str">
        <f t="shared" si="46"/>
        <v>Add-On</v>
      </c>
      <c r="T76" s="495" t="str">
        <f t="shared" si="46"/>
        <v>Add-On</v>
      </c>
      <c r="U76" s="486"/>
      <c r="V76" s="261">
        <f t="shared" si="44"/>
        <v>0</v>
      </c>
      <c r="W76" s="144"/>
      <c r="X76" s="145" t="s">
        <v>139</v>
      </c>
      <c r="Y76" s="99"/>
      <c r="Z76" s="419"/>
      <c r="AA76" s="644"/>
      <c r="AB76" s="546"/>
      <c r="AC76" s="99"/>
      <c r="AD76" s="99"/>
      <c r="AE76" s="99"/>
      <c r="AF76" s="99"/>
      <c r="AG76" s="99"/>
      <c r="AH76" s="100"/>
      <c r="AI76" s="100"/>
      <c r="AJ76" s="99"/>
      <c r="AK76" s="100"/>
      <c r="AL76" s="100"/>
      <c r="AM76" s="99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</row>
    <row r="77" spans="1:52" s="40" customFormat="1" ht="18" hidden="1" outlineLevel="1" x14ac:dyDescent="0.3">
      <c r="A77" s="96"/>
      <c r="B77" s="614"/>
      <c r="C77" s="142" t="s">
        <v>454</v>
      </c>
      <c r="D77" s="158"/>
      <c r="E77" s="158"/>
      <c r="F77" s="158"/>
      <c r="G77" s="158"/>
      <c r="H77" s="143"/>
      <c r="I77" s="495" t="s">
        <v>84</v>
      </c>
      <c r="J77" s="495" t="s">
        <v>364</v>
      </c>
      <c r="K77" s="495" t="s">
        <v>364</v>
      </c>
      <c r="L77" s="495" t="s">
        <v>364</v>
      </c>
      <c r="M77" s="495" t="s">
        <v>364</v>
      </c>
      <c r="N77" s="495" t="s">
        <v>364</v>
      </c>
      <c r="O77" s="495" t="s">
        <v>364</v>
      </c>
      <c r="P77" s="495" t="s">
        <v>364</v>
      </c>
      <c r="Q77" s="495" t="s">
        <v>364</v>
      </c>
      <c r="R77" s="495" t="s">
        <v>364</v>
      </c>
      <c r="S77" s="495" t="s">
        <v>364</v>
      </c>
      <c r="T77" s="495" t="s">
        <v>364</v>
      </c>
      <c r="U77" s="486"/>
      <c r="V77" s="261">
        <f t="shared" si="44"/>
        <v>0</v>
      </c>
      <c r="W77" s="144"/>
      <c r="X77" s="145" t="s">
        <v>139</v>
      </c>
      <c r="Y77" s="99"/>
      <c r="Z77" s="419"/>
      <c r="AA77" s="644"/>
      <c r="AB77" s="546"/>
      <c r="AC77" s="99"/>
      <c r="AD77" s="99"/>
      <c r="AE77" s="99"/>
      <c r="AF77" s="99"/>
      <c r="AG77" s="99"/>
      <c r="AH77" s="100"/>
      <c r="AI77" s="100"/>
      <c r="AJ77" s="99"/>
      <c r="AK77" s="100"/>
      <c r="AL77" s="100"/>
      <c r="AM77" s="99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</row>
    <row r="78" spans="1:52" s="40" customFormat="1" ht="18" hidden="1" outlineLevel="1" x14ac:dyDescent="0.3">
      <c r="A78" s="96"/>
      <c r="B78" s="614"/>
      <c r="C78" s="755" t="s">
        <v>434</v>
      </c>
      <c r="D78" s="158"/>
      <c r="E78" s="158"/>
      <c r="F78" s="158"/>
      <c r="G78" s="158"/>
      <c r="H78" s="143" t="s">
        <v>542</v>
      </c>
      <c r="I78" s="495" t="s">
        <v>84</v>
      </c>
      <c r="J78" s="495" t="str">
        <f t="shared" ref="J78:T80" si="47">IF($B$72="x","enthalten","Add-On")</f>
        <v>Add-On</v>
      </c>
      <c r="K78" s="495" t="str">
        <f t="shared" si="47"/>
        <v>Add-On</v>
      </c>
      <c r="L78" s="495" t="str">
        <f t="shared" si="47"/>
        <v>Add-On</v>
      </c>
      <c r="M78" s="495" t="str">
        <f t="shared" si="47"/>
        <v>Add-On</v>
      </c>
      <c r="N78" s="495" t="str">
        <f t="shared" si="47"/>
        <v>Add-On</v>
      </c>
      <c r="O78" s="495" t="str">
        <f t="shared" si="47"/>
        <v>Add-On</v>
      </c>
      <c r="P78" s="495" t="str">
        <f t="shared" si="47"/>
        <v>Add-On</v>
      </c>
      <c r="Q78" s="495" t="str">
        <f t="shared" si="47"/>
        <v>Add-On</v>
      </c>
      <c r="R78" s="495" t="str">
        <f t="shared" si="47"/>
        <v>Add-On</v>
      </c>
      <c r="S78" s="495" t="str">
        <f t="shared" si="47"/>
        <v>Add-On</v>
      </c>
      <c r="T78" s="495" t="str">
        <f t="shared" si="47"/>
        <v>Add-On</v>
      </c>
      <c r="U78" s="486"/>
      <c r="V78" s="261">
        <v>19.95</v>
      </c>
      <c r="W78" s="144"/>
      <c r="X78" s="145" t="s">
        <v>139</v>
      </c>
      <c r="Y78" s="99"/>
      <c r="Z78" s="419"/>
      <c r="AA78" s="644"/>
      <c r="AB78" s="546"/>
      <c r="AC78" s="99"/>
      <c r="AD78" s="99"/>
      <c r="AE78" s="99"/>
      <c r="AF78" s="99"/>
      <c r="AG78" s="99"/>
      <c r="AH78" s="100"/>
      <c r="AI78" s="100"/>
      <c r="AJ78" s="99"/>
      <c r="AK78" s="100"/>
      <c r="AL78" s="100"/>
      <c r="AM78" s="99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</row>
    <row r="79" spans="1:52" s="40" customFormat="1" ht="18" hidden="1" outlineLevel="1" x14ac:dyDescent="0.3">
      <c r="A79" s="96"/>
      <c r="B79" s="614"/>
      <c r="C79" s="755" t="s">
        <v>440</v>
      </c>
      <c r="D79" s="158"/>
      <c r="E79" s="158"/>
      <c r="F79" s="158"/>
      <c r="G79" s="158"/>
      <c r="H79" s="143" t="s">
        <v>542</v>
      </c>
      <c r="I79" s="495" t="s">
        <v>84</v>
      </c>
      <c r="J79" s="495" t="str">
        <f t="shared" si="47"/>
        <v>Add-On</v>
      </c>
      <c r="K79" s="495" t="str">
        <f t="shared" si="47"/>
        <v>Add-On</v>
      </c>
      <c r="L79" s="495" t="str">
        <f t="shared" si="47"/>
        <v>Add-On</v>
      </c>
      <c r="M79" s="495" t="str">
        <f t="shared" si="47"/>
        <v>Add-On</v>
      </c>
      <c r="N79" s="495" t="str">
        <f t="shared" si="47"/>
        <v>Add-On</v>
      </c>
      <c r="O79" s="495" t="str">
        <f t="shared" si="47"/>
        <v>Add-On</v>
      </c>
      <c r="P79" s="495" t="str">
        <f t="shared" si="47"/>
        <v>Add-On</v>
      </c>
      <c r="Q79" s="495" t="str">
        <f t="shared" si="47"/>
        <v>Add-On</v>
      </c>
      <c r="R79" s="495" t="str">
        <f t="shared" si="47"/>
        <v>Add-On</v>
      </c>
      <c r="S79" s="495" t="str">
        <f t="shared" si="47"/>
        <v>Add-On</v>
      </c>
      <c r="T79" s="495" t="str">
        <f t="shared" si="47"/>
        <v>Add-On</v>
      </c>
      <c r="U79" s="486"/>
      <c r="V79" s="261">
        <v>19.95</v>
      </c>
      <c r="W79" s="144"/>
      <c r="X79" s="145" t="s">
        <v>139</v>
      </c>
      <c r="Y79" s="99"/>
      <c r="Z79" s="419"/>
      <c r="AA79" s="644"/>
      <c r="AB79" s="546"/>
      <c r="AC79" s="99"/>
      <c r="AD79" s="99"/>
      <c r="AE79" s="99"/>
      <c r="AF79" s="99"/>
      <c r="AG79" s="99"/>
      <c r="AH79" s="100"/>
      <c r="AI79" s="100"/>
      <c r="AJ79" s="99"/>
      <c r="AK79" s="100"/>
      <c r="AL79" s="100"/>
      <c r="AM79" s="99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</row>
    <row r="80" spans="1:52" s="40" customFormat="1" ht="18" hidden="1" outlineLevel="1" x14ac:dyDescent="0.3">
      <c r="A80" s="96"/>
      <c r="B80" s="614"/>
      <c r="C80" s="755" t="s">
        <v>294</v>
      </c>
      <c r="D80" s="158"/>
      <c r="E80" s="158"/>
      <c r="F80" s="158"/>
      <c r="G80" s="158"/>
      <c r="H80" s="143" t="s">
        <v>542</v>
      </c>
      <c r="I80" s="495" t="s">
        <v>84</v>
      </c>
      <c r="J80" s="495" t="str">
        <f t="shared" si="47"/>
        <v>Add-On</v>
      </c>
      <c r="K80" s="495" t="str">
        <f t="shared" si="47"/>
        <v>Add-On</v>
      </c>
      <c r="L80" s="495" t="str">
        <f t="shared" si="47"/>
        <v>Add-On</v>
      </c>
      <c r="M80" s="495" t="str">
        <f t="shared" si="47"/>
        <v>Add-On</v>
      </c>
      <c r="N80" s="495" t="str">
        <f t="shared" si="47"/>
        <v>Add-On</v>
      </c>
      <c r="O80" s="495" t="str">
        <f t="shared" si="47"/>
        <v>Add-On</v>
      </c>
      <c r="P80" s="495" t="str">
        <f t="shared" si="47"/>
        <v>Add-On</v>
      </c>
      <c r="Q80" s="495" t="str">
        <f t="shared" si="47"/>
        <v>Add-On</v>
      </c>
      <c r="R80" s="495" t="str">
        <f t="shared" si="47"/>
        <v>Add-On</v>
      </c>
      <c r="S80" s="495" t="str">
        <f t="shared" si="47"/>
        <v>Add-On</v>
      </c>
      <c r="T80" s="495" t="str">
        <f t="shared" si="47"/>
        <v>Add-On</v>
      </c>
      <c r="U80" s="486"/>
      <c r="V80" s="261">
        <f>ROUND(U80*(1+$W$6),2)</f>
        <v>0</v>
      </c>
      <c r="W80" s="144"/>
      <c r="X80" s="145" t="s">
        <v>139</v>
      </c>
      <c r="Y80" s="99"/>
      <c r="Z80" s="419"/>
      <c r="AA80" s="644"/>
      <c r="AB80" s="546"/>
      <c r="AC80" s="99"/>
      <c r="AD80" s="99"/>
      <c r="AE80" s="99"/>
      <c r="AF80" s="99"/>
      <c r="AG80" s="99"/>
      <c r="AH80" s="100"/>
      <c r="AI80" s="100"/>
      <c r="AJ80" s="99"/>
      <c r="AK80" s="100"/>
      <c r="AL80" s="100"/>
      <c r="AM80" s="99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</row>
    <row r="81" spans="1:52" s="40" customFormat="1" ht="18" hidden="1" outlineLevel="1" x14ac:dyDescent="0.3">
      <c r="A81" s="96"/>
      <c r="B81" s="614"/>
      <c r="C81" s="142" t="s">
        <v>457</v>
      </c>
      <c r="D81" s="158"/>
      <c r="E81" s="158"/>
      <c r="F81" s="158"/>
      <c r="G81" s="158"/>
      <c r="H81" s="143"/>
      <c r="I81" s="495" t="s">
        <v>84</v>
      </c>
      <c r="J81" s="495" t="s">
        <v>364</v>
      </c>
      <c r="K81" s="495" t="s">
        <v>364</v>
      </c>
      <c r="L81" s="495" t="s">
        <v>364</v>
      </c>
      <c r="M81" s="495" t="s">
        <v>364</v>
      </c>
      <c r="N81" s="495" t="s">
        <v>364</v>
      </c>
      <c r="O81" s="495" t="s">
        <v>364</v>
      </c>
      <c r="P81" s="495" t="s">
        <v>364</v>
      </c>
      <c r="Q81" s="495" t="s">
        <v>364</v>
      </c>
      <c r="R81" s="495" t="s">
        <v>364</v>
      </c>
      <c r="S81" s="495" t="s">
        <v>364</v>
      </c>
      <c r="T81" s="495" t="s">
        <v>364</v>
      </c>
      <c r="U81" s="486"/>
      <c r="V81" s="261">
        <v>19.95</v>
      </c>
      <c r="W81" s="144"/>
      <c r="X81" s="145" t="s">
        <v>139</v>
      </c>
      <c r="Y81" s="99"/>
      <c r="Z81" s="419"/>
      <c r="AA81" s="644"/>
      <c r="AB81" s="546"/>
      <c r="AC81" s="99"/>
      <c r="AD81" s="99"/>
      <c r="AE81" s="99"/>
      <c r="AF81" s="99"/>
      <c r="AG81" s="99"/>
      <c r="AH81" s="100"/>
      <c r="AI81" s="100"/>
      <c r="AJ81" s="99"/>
      <c r="AK81" s="100"/>
      <c r="AL81" s="100"/>
      <c r="AM81" s="99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</row>
    <row r="82" spans="1:52" s="40" customFormat="1" ht="18" hidden="1" outlineLevel="1" x14ac:dyDescent="0.3">
      <c r="A82" s="96"/>
      <c r="B82" s="614"/>
      <c r="C82" s="142" t="s">
        <v>451</v>
      </c>
      <c r="D82" s="158"/>
      <c r="E82" s="158"/>
      <c r="F82" s="158"/>
      <c r="G82" s="158"/>
      <c r="H82" s="143"/>
      <c r="I82" s="495" t="s">
        <v>84</v>
      </c>
      <c r="J82" s="495" t="s">
        <v>364</v>
      </c>
      <c r="K82" s="495" t="s">
        <v>364</v>
      </c>
      <c r="L82" s="495" t="s">
        <v>364</v>
      </c>
      <c r="M82" s="495" t="s">
        <v>364</v>
      </c>
      <c r="N82" s="495" t="s">
        <v>364</v>
      </c>
      <c r="O82" s="495" t="s">
        <v>364</v>
      </c>
      <c r="P82" s="495" t="s">
        <v>364</v>
      </c>
      <c r="Q82" s="495" t="s">
        <v>364</v>
      </c>
      <c r="R82" s="495" t="s">
        <v>364</v>
      </c>
      <c r="S82" s="495" t="s">
        <v>364</v>
      </c>
      <c r="T82" s="495" t="s">
        <v>364</v>
      </c>
      <c r="U82" s="486"/>
      <c r="V82" s="261">
        <f>ROUND(U82*(1+$W$6),2)</f>
        <v>0</v>
      </c>
      <c r="W82" s="144"/>
      <c r="X82" s="145" t="s">
        <v>139</v>
      </c>
      <c r="Y82" s="99"/>
      <c r="Z82" s="419"/>
      <c r="AA82" s="644"/>
      <c r="AB82" s="546"/>
      <c r="AC82" s="99"/>
      <c r="AD82" s="99"/>
      <c r="AE82" s="99"/>
      <c r="AF82" s="99"/>
      <c r="AG82" s="99"/>
      <c r="AH82" s="100"/>
      <c r="AI82" s="100"/>
      <c r="AJ82" s="99"/>
      <c r="AK82" s="100"/>
      <c r="AL82" s="100"/>
      <c r="AM82" s="99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</row>
    <row r="83" spans="1:52" s="40" customFormat="1" ht="18" hidden="1" outlineLevel="1" x14ac:dyDescent="0.3">
      <c r="A83" s="96"/>
      <c r="B83" s="614"/>
      <c r="C83" s="755" t="s">
        <v>442</v>
      </c>
      <c r="D83" s="158"/>
      <c r="E83" s="158"/>
      <c r="F83" s="158"/>
      <c r="G83" s="158"/>
      <c r="H83" s="143" t="s">
        <v>542</v>
      </c>
      <c r="I83" s="495" t="s">
        <v>84</v>
      </c>
      <c r="J83" s="495" t="str">
        <f t="shared" ref="J83:T83" si="48">IF($B$72="x","enthalten","Add-On")</f>
        <v>Add-On</v>
      </c>
      <c r="K83" s="495" t="str">
        <f t="shared" si="48"/>
        <v>Add-On</v>
      </c>
      <c r="L83" s="495" t="str">
        <f t="shared" si="48"/>
        <v>Add-On</v>
      </c>
      <c r="M83" s="495" t="str">
        <f t="shared" si="48"/>
        <v>Add-On</v>
      </c>
      <c r="N83" s="495" t="str">
        <f t="shared" si="48"/>
        <v>Add-On</v>
      </c>
      <c r="O83" s="495" t="str">
        <f t="shared" si="48"/>
        <v>Add-On</v>
      </c>
      <c r="P83" s="495" t="str">
        <f t="shared" si="48"/>
        <v>Add-On</v>
      </c>
      <c r="Q83" s="495" t="str">
        <f t="shared" si="48"/>
        <v>Add-On</v>
      </c>
      <c r="R83" s="495" t="str">
        <f t="shared" si="48"/>
        <v>Add-On</v>
      </c>
      <c r="S83" s="495" t="str">
        <f t="shared" si="48"/>
        <v>Add-On</v>
      </c>
      <c r="T83" s="495" t="str">
        <f t="shared" si="48"/>
        <v>Add-On</v>
      </c>
      <c r="U83" s="486"/>
      <c r="V83" s="261">
        <v>19.95</v>
      </c>
      <c r="W83" s="144"/>
      <c r="X83" s="145" t="s">
        <v>139</v>
      </c>
      <c r="Y83" s="99"/>
      <c r="Z83" s="419"/>
      <c r="AA83" s="644"/>
      <c r="AB83" s="546"/>
      <c r="AC83" s="99"/>
      <c r="AD83" s="99"/>
      <c r="AE83" s="99"/>
      <c r="AF83" s="99"/>
      <c r="AG83" s="99"/>
      <c r="AH83" s="100"/>
      <c r="AI83" s="100"/>
      <c r="AJ83" s="99"/>
      <c r="AK83" s="100"/>
      <c r="AL83" s="100"/>
      <c r="AM83" s="99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</row>
    <row r="84" spans="1:52" s="40" customFormat="1" ht="18" hidden="1" outlineLevel="1" x14ac:dyDescent="0.3">
      <c r="A84" s="96"/>
      <c r="B84" s="614"/>
      <c r="C84" s="142" t="s">
        <v>462</v>
      </c>
      <c r="D84" s="158"/>
      <c r="E84" s="158"/>
      <c r="F84" s="158"/>
      <c r="G84" s="158"/>
      <c r="H84" s="143"/>
      <c r="I84" s="495" t="s">
        <v>84</v>
      </c>
      <c r="J84" s="495" t="s">
        <v>364</v>
      </c>
      <c r="K84" s="495" t="s">
        <v>364</v>
      </c>
      <c r="L84" s="495" t="s">
        <v>364</v>
      </c>
      <c r="M84" s="495" t="s">
        <v>364</v>
      </c>
      <c r="N84" s="495" t="s">
        <v>364</v>
      </c>
      <c r="O84" s="495" t="s">
        <v>364</v>
      </c>
      <c r="P84" s="495" t="s">
        <v>364</v>
      </c>
      <c r="Q84" s="495" t="s">
        <v>364</v>
      </c>
      <c r="R84" s="495" t="s">
        <v>364</v>
      </c>
      <c r="S84" s="495" t="s">
        <v>364</v>
      </c>
      <c r="T84" s="495" t="s">
        <v>364</v>
      </c>
      <c r="U84" s="486"/>
      <c r="V84" s="261">
        <f>ROUND(U84*(1+$W$6),2)</f>
        <v>0</v>
      </c>
      <c r="W84" s="144"/>
      <c r="X84" s="145" t="s">
        <v>139</v>
      </c>
      <c r="Y84" s="99"/>
      <c r="Z84" s="419"/>
      <c r="AA84" s="644"/>
      <c r="AB84" s="546"/>
      <c r="AC84" s="99"/>
      <c r="AD84" s="99"/>
      <c r="AE84" s="99"/>
      <c r="AF84" s="99"/>
      <c r="AG84" s="99"/>
      <c r="AH84" s="100"/>
      <c r="AI84" s="100"/>
      <c r="AJ84" s="99"/>
      <c r="AK84" s="100"/>
      <c r="AL84" s="100"/>
      <c r="AM84" s="99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</row>
    <row r="85" spans="1:52" s="40" customFormat="1" ht="18" hidden="1" outlineLevel="1" x14ac:dyDescent="0.3">
      <c r="A85" s="96"/>
      <c r="B85" s="614"/>
      <c r="C85" s="142" t="s">
        <v>432</v>
      </c>
      <c r="D85" s="158"/>
      <c r="E85" s="158"/>
      <c r="F85" s="158"/>
      <c r="G85" s="158"/>
      <c r="H85" s="143"/>
      <c r="I85" s="495" t="s">
        <v>84</v>
      </c>
      <c r="J85" s="495" t="s">
        <v>364</v>
      </c>
      <c r="K85" s="495" t="s">
        <v>364</v>
      </c>
      <c r="L85" s="495" t="s">
        <v>364</v>
      </c>
      <c r="M85" s="495" t="s">
        <v>364</v>
      </c>
      <c r="N85" s="495" t="s">
        <v>364</v>
      </c>
      <c r="O85" s="495" t="s">
        <v>364</v>
      </c>
      <c r="P85" s="495" t="s">
        <v>364</v>
      </c>
      <c r="Q85" s="495" t="s">
        <v>364</v>
      </c>
      <c r="R85" s="495" t="s">
        <v>364</v>
      </c>
      <c r="S85" s="495" t="s">
        <v>364</v>
      </c>
      <c r="T85" s="495" t="s">
        <v>364</v>
      </c>
      <c r="U85" s="486"/>
      <c r="V85" s="261">
        <v>19.95</v>
      </c>
      <c r="W85" s="144"/>
      <c r="X85" s="145" t="s">
        <v>139</v>
      </c>
      <c r="Y85" s="99"/>
      <c r="Z85" s="419"/>
      <c r="AA85" s="644"/>
      <c r="AB85" s="546"/>
      <c r="AC85" s="99"/>
      <c r="AD85" s="99"/>
      <c r="AE85" s="99"/>
      <c r="AF85" s="99"/>
      <c r="AG85" s="99"/>
      <c r="AH85" s="100"/>
      <c r="AI85" s="100"/>
      <c r="AJ85" s="99"/>
      <c r="AK85" s="100"/>
      <c r="AL85" s="100"/>
      <c r="AM85" s="99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</row>
    <row r="86" spans="1:52" s="40" customFormat="1" ht="18" hidden="1" outlineLevel="1" x14ac:dyDescent="0.3">
      <c r="A86" s="96"/>
      <c r="B86" s="614"/>
      <c r="C86" s="142" t="s">
        <v>461</v>
      </c>
      <c r="D86" s="158"/>
      <c r="E86" s="158"/>
      <c r="F86" s="158"/>
      <c r="G86" s="158"/>
      <c r="H86" s="143"/>
      <c r="I86" s="495" t="s">
        <v>84</v>
      </c>
      <c r="J86" s="495" t="s">
        <v>364</v>
      </c>
      <c r="K86" s="495" t="s">
        <v>364</v>
      </c>
      <c r="L86" s="495" t="s">
        <v>364</v>
      </c>
      <c r="M86" s="495" t="s">
        <v>364</v>
      </c>
      <c r="N86" s="495" t="s">
        <v>364</v>
      </c>
      <c r="O86" s="495" t="s">
        <v>364</v>
      </c>
      <c r="P86" s="495" t="s">
        <v>364</v>
      </c>
      <c r="Q86" s="495" t="s">
        <v>364</v>
      </c>
      <c r="R86" s="495" t="s">
        <v>364</v>
      </c>
      <c r="S86" s="495" t="s">
        <v>364</v>
      </c>
      <c r="T86" s="495" t="s">
        <v>364</v>
      </c>
      <c r="U86" s="486"/>
      <c r="V86" s="261">
        <f>ROUND(U86*(1+$W$6),2)</f>
        <v>0</v>
      </c>
      <c r="W86" s="144"/>
      <c r="X86" s="145" t="s">
        <v>139</v>
      </c>
      <c r="Y86" s="99"/>
      <c r="Z86" s="419"/>
      <c r="AA86" s="644"/>
      <c r="AB86" s="546"/>
      <c r="AC86" s="99"/>
      <c r="AD86" s="99"/>
      <c r="AE86" s="99"/>
      <c r="AF86" s="99"/>
      <c r="AG86" s="99"/>
      <c r="AH86" s="100"/>
      <c r="AI86" s="100"/>
      <c r="AJ86" s="99"/>
      <c r="AK86" s="100"/>
      <c r="AL86" s="100"/>
      <c r="AM86" s="99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</row>
    <row r="87" spans="1:52" s="40" customFormat="1" ht="18" hidden="1" outlineLevel="1" x14ac:dyDescent="0.3">
      <c r="A87" s="96"/>
      <c r="B87" s="614"/>
      <c r="C87" s="142" t="s">
        <v>463</v>
      </c>
      <c r="D87" s="158"/>
      <c r="E87" s="158"/>
      <c r="F87" s="158"/>
      <c r="G87" s="158"/>
      <c r="H87" s="143"/>
      <c r="I87" s="495" t="s">
        <v>84</v>
      </c>
      <c r="J87" s="495" t="s">
        <v>364</v>
      </c>
      <c r="K87" s="495" t="s">
        <v>364</v>
      </c>
      <c r="L87" s="495" t="s">
        <v>364</v>
      </c>
      <c r="M87" s="495" t="s">
        <v>364</v>
      </c>
      <c r="N87" s="495" t="s">
        <v>364</v>
      </c>
      <c r="O87" s="495" t="s">
        <v>364</v>
      </c>
      <c r="P87" s="495" t="s">
        <v>364</v>
      </c>
      <c r="Q87" s="495" t="s">
        <v>364</v>
      </c>
      <c r="R87" s="495" t="s">
        <v>364</v>
      </c>
      <c r="S87" s="495" t="s">
        <v>364</v>
      </c>
      <c r="T87" s="495" t="s">
        <v>364</v>
      </c>
      <c r="U87" s="486"/>
      <c r="V87" s="261">
        <v>19.95</v>
      </c>
      <c r="W87" s="144"/>
      <c r="X87" s="145" t="s">
        <v>139</v>
      </c>
      <c r="Y87" s="99"/>
      <c r="Z87" s="419"/>
      <c r="AA87" s="644"/>
      <c r="AB87" s="546"/>
      <c r="AC87" s="99"/>
      <c r="AD87" s="99"/>
      <c r="AE87" s="99"/>
      <c r="AF87" s="99"/>
      <c r="AG87" s="99"/>
      <c r="AH87" s="100"/>
      <c r="AI87" s="100"/>
      <c r="AJ87" s="99"/>
      <c r="AK87" s="100"/>
      <c r="AL87" s="100"/>
      <c r="AM87" s="99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</row>
    <row r="88" spans="1:52" s="40" customFormat="1" ht="18" hidden="1" outlineLevel="1" x14ac:dyDescent="0.3">
      <c r="A88" s="96"/>
      <c r="B88" s="614"/>
      <c r="C88" s="142" t="s">
        <v>449</v>
      </c>
      <c r="D88" s="158"/>
      <c r="E88" s="158"/>
      <c r="F88" s="158"/>
      <c r="G88" s="158"/>
      <c r="H88" s="143"/>
      <c r="I88" s="495" t="s">
        <v>84</v>
      </c>
      <c r="J88" s="495" t="s">
        <v>364</v>
      </c>
      <c r="K88" s="495" t="s">
        <v>364</v>
      </c>
      <c r="L88" s="495" t="s">
        <v>364</v>
      </c>
      <c r="M88" s="495" t="s">
        <v>364</v>
      </c>
      <c r="N88" s="495" t="s">
        <v>364</v>
      </c>
      <c r="O88" s="495" t="s">
        <v>364</v>
      </c>
      <c r="P88" s="495" t="s">
        <v>364</v>
      </c>
      <c r="Q88" s="495" t="s">
        <v>364</v>
      </c>
      <c r="R88" s="495" t="s">
        <v>364</v>
      </c>
      <c r="S88" s="495" t="s">
        <v>364</v>
      </c>
      <c r="T88" s="495" t="s">
        <v>364</v>
      </c>
      <c r="U88" s="486"/>
      <c r="V88" s="261">
        <v>19.95</v>
      </c>
      <c r="W88" s="144"/>
      <c r="X88" s="145" t="s">
        <v>139</v>
      </c>
      <c r="Y88" s="99"/>
      <c r="Z88" s="419"/>
      <c r="AA88" s="644"/>
      <c r="AB88" s="546"/>
      <c r="AC88" s="99"/>
      <c r="AD88" s="99"/>
      <c r="AE88" s="99"/>
      <c r="AF88" s="99"/>
      <c r="AG88" s="99"/>
      <c r="AH88" s="100"/>
      <c r="AI88" s="100"/>
      <c r="AJ88" s="99"/>
      <c r="AK88" s="100"/>
      <c r="AL88" s="100"/>
      <c r="AM88" s="99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</row>
    <row r="89" spans="1:52" s="40" customFormat="1" ht="18" hidden="1" outlineLevel="1" x14ac:dyDescent="0.3">
      <c r="A89" s="96"/>
      <c r="B89" s="614"/>
      <c r="C89" s="142" t="s">
        <v>452</v>
      </c>
      <c r="D89" s="158"/>
      <c r="E89" s="158"/>
      <c r="F89" s="158"/>
      <c r="G89" s="158"/>
      <c r="H89" s="143"/>
      <c r="I89" s="495" t="s">
        <v>84</v>
      </c>
      <c r="J89" s="495" t="s">
        <v>364</v>
      </c>
      <c r="K89" s="495" t="s">
        <v>364</v>
      </c>
      <c r="L89" s="495" t="s">
        <v>364</v>
      </c>
      <c r="M89" s="495" t="s">
        <v>364</v>
      </c>
      <c r="N89" s="495" t="s">
        <v>364</v>
      </c>
      <c r="O89" s="495" t="s">
        <v>364</v>
      </c>
      <c r="P89" s="495" t="s">
        <v>364</v>
      </c>
      <c r="Q89" s="495" t="s">
        <v>364</v>
      </c>
      <c r="R89" s="495" t="s">
        <v>364</v>
      </c>
      <c r="S89" s="495" t="s">
        <v>364</v>
      </c>
      <c r="T89" s="495" t="s">
        <v>364</v>
      </c>
      <c r="U89" s="486"/>
      <c r="V89" s="261">
        <f>ROUND(U89*(1+$W$6),2)</f>
        <v>0</v>
      </c>
      <c r="W89" s="144"/>
      <c r="X89" s="145" t="s">
        <v>139</v>
      </c>
      <c r="Y89" s="99"/>
      <c r="Z89" s="419"/>
      <c r="AA89" s="644"/>
      <c r="AB89" s="546"/>
      <c r="AC89" s="99"/>
      <c r="AD89" s="99"/>
      <c r="AE89" s="99"/>
      <c r="AF89" s="99"/>
      <c r="AG89" s="99"/>
      <c r="AH89" s="100"/>
      <c r="AI89" s="100"/>
      <c r="AJ89" s="99"/>
      <c r="AK89" s="100"/>
      <c r="AL89" s="100"/>
      <c r="AM89" s="99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</row>
    <row r="90" spans="1:52" s="40" customFormat="1" ht="18" hidden="1" outlineLevel="1" x14ac:dyDescent="0.3">
      <c r="A90" s="96"/>
      <c r="B90" s="614"/>
      <c r="C90" s="142" t="s">
        <v>455</v>
      </c>
      <c r="D90" s="158"/>
      <c r="E90" s="158"/>
      <c r="F90" s="158"/>
      <c r="G90" s="158"/>
      <c r="H90" s="143"/>
      <c r="I90" s="495" t="s">
        <v>84</v>
      </c>
      <c r="J90" s="495" t="s">
        <v>364</v>
      </c>
      <c r="K90" s="495" t="s">
        <v>364</v>
      </c>
      <c r="L90" s="495" t="s">
        <v>364</v>
      </c>
      <c r="M90" s="495" t="s">
        <v>364</v>
      </c>
      <c r="N90" s="495" t="s">
        <v>364</v>
      </c>
      <c r="O90" s="495" t="s">
        <v>364</v>
      </c>
      <c r="P90" s="495" t="s">
        <v>364</v>
      </c>
      <c r="Q90" s="495" t="s">
        <v>364</v>
      </c>
      <c r="R90" s="495" t="s">
        <v>364</v>
      </c>
      <c r="S90" s="495" t="s">
        <v>364</v>
      </c>
      <c r="T90" s="495" t="s">
        <v>364</v>
      </c>
      <c r="U90" s="486"/>
      <c r="V90" s="261">
        <f>ROUND(U90*(1+$W$6),2)</f>
        <v>0</v>
      </c>
      <c r="W90" s="144"/>
      <c r="X90" s="145" t="s">
        <v>139</v>
      </c>
      <c r="Y90" s="99"/>
      <c r="Z90" s="419"/>
      <c r="AA90" s="644"/>
      <c r="AB90" s="546"/>
      <c r="AC90" s="99"/>
      <c r="AD90" s="99"/>
      <c r="AE90" s="99"/>
      <c r="AF90" s="99"/>
      <c r="AG90" s="99"/>
      <c r="AH90" s="100"/>
      <c r="AI90" s="100"/>
      <c r="AJ90" s="99"/>
      <c r="AK90" s="100"/>
      <c r="AL90" s="100"/>
      <c r="AM90" s="99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</row>
    <row r="91" spans="1:52" s="40" customFormat="1" ht="18" hidden="1" outlineLevel="1" x14ac:dyDescent="0.3">
      <c r="A91" s="96"/>
      <c r="B91" s="614"/>
      <c r="C91" s="755" t="s">
        <v>441</v>
      </c>
      <c r="D91" s="158"/>
      <c r="E91" s="158"/>
      <c r="F91" s="158"/>
      <c r="G91" s="158"/>
      <c r="H91" s="143" t="s">
        <v>542</v>
      </c>
      <c r="I91" s="495" t="s">
        <v>84</v>
      </c>
      <c r="J91" s="495" t="str">
        <f t="shared" ref="J91:T93" si="49">IF($B$72="x","enthalten","Add-On")</f>
        <v>Add-On</v>
      </c>
      <c r="K91" s="495" t="str">
        <f t="shared" si="49"/>
        <v>Add-On</v>
      </c>
      <c r="L91" s="495" t="str">
        <f t="shared" si="49"/>
        <v>Add-On</v>
      </c>
      <c r="M91" s="495" t="str">
        <f t="shared" si="49"/>
        <v>Add-On</v>
      </c>
      <c r="N91" s="495" t="str">
        <f t="shared" si="49"/>
        <v>Add-On</v>
      </c>
      <c r="O91" s="495" t="str">
        <f t="shared" si="49"/>
        <v>Add-On</v>
      </c>
      <c r="P91" s="495" t="str">
        <f t="shared" si="49"/>
        <v>Add-On</v>
      </c>
      <c r="Q91" s="495" t="str">
        <f t="shared" si="49"/>
        <v>Add-On</v>
      </c>
      <c r="R91" s="495" t="str">
        <f t="shared" si="49"/>
        <v>Add-On</v>
      </c>
      <c r="S91" s="495" t="str">
        <f t="shared" si="49"/>
        <v>Add-On</v>
      </c>
      <c r="T91" s="495" t="str">
        <f t="shared" si="49"/>
        <v>Add-On</v>
      </c>
      <c r="U91" s="486"/>
      <c r="V91" s="261">
        <f>ROUND(U91*(1+$W$6),2)</f>
        <v>0</v>
      </c>
      <c r="W91" s="144"/>
      <c r="X91" s="145" t="s">
        <v>139</v>
      </c>
      <c r="Y91" s="99"/>
      <c r="Z91" s="419"/>
      <c r="AA91" s="644"/>
      <c r="AB91" s="546"/>
      <c r="AC91" s="99"/>
      <c r="AD91" s="99"/>
      <c r="AE91" s="99"/>
      <c r="AF91" s="99"/>
      <c r="AG91" s="99"/>
      <c r="AH91" s="100"/>
      <c r="AI91" s="100"/>
      <c r="AJ91" s="99"/>
      <c r="AK91" s="100"/>
      <c r="AL91" s="100"/>
      <c r="AM91" s="99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</row>
    <row r="92" spans="1:52" s="40" customFormat="1" ht="18" hidden="1" outlineLevel="1" x14ac:dyDescent="0.3">
      <c r="A92" s="96"/>
      <c r="B92" s="614"/>
      <c r="C92" s="755" t="s">
        <v>439</v>
      </c>
      <c r="D92" s="158"/>
      <c r="E92" s="158"/>
      <c r="F92" s="158"/>
      <c r="G92" s="158"/>
      <c r="H92" s="143" t="s">
        <v>542</v>
      </c>
      <c r="I92" s="495" t="s">
        <v>84</v>
      </c>
      <c r="J92" s="495" t="str">
        <f t="shared" si="49"/>
        <v>Add-On</v>
      </c>
      <c r="K92" s="495" t="str">
        <f t="shared" si="49"/>
        <v>Add-On</v>
      </c>
      <c r="L92" s="495" t="str">
        <f t="shared" si="49"/>
        <v>Add-On</v>
      </c>
      <c r="M92" s="495" t="str">
        <f t="shared" si="49"/>
        <v>Add-On</v>
      </c>
      <c r="N92" s="495" t="str">
        <f t="shared" si="49"/>
        <v>Add-On</v>
      </c>
      <c r="O92" s="495" t="str">
        <f t="shared" si="49"/>
        <v>Add-On</v>
      </c>
      <c r="P92" s="495" t="str">
        <f t="shared" si="49"/>
        <v>Add-On</v>
      </c>
      <c r="Q92" s="495" t="str">
        <f t="shared" si="49"/>
        <v>Add-On</v>
      </c>
      <c r="R92" s="495" t="str">
        <f t="shared" si="49"/>
        <v>Add-On</v>
      </c>
      <c r="S92" s="495" t="str">
        <f t="shared" si="49"/>
        <v>Add-On</v>
      </c>
      <c r="T92" s="495" t="str">
        <f t="shared" si="49"/>
        <v>Add-On</v>
      </c>
      <c r="U92" s="486"/>
      <c r="V92" s="261" t="s">
        <v>465</v>
      </c>
      <c r="W92" s="144"/>
      <c r="X92" s="417" t="s">
        <v>466</v>
      </c>
      <c r="Y92" s="99"/>
      <c r="Z92" s="419"/>
      <c r="AA92" s="644"/>
      <c r="AB92" s="546"/>
      <c r="AC92" s="99"/>
      <c r="AD92" s="99"/>
      <c r="AE92" s="99"/>
      <c r="AF92" s="99"/>
      <c r="AG92" s="99"/>
      <c r="AH92" s="100"/>
      <c r="AI92" s="100"/>
      <c r="AJ92" s="99"/>
      <c r="AK92" s="100"/>
      <c r="AL92" s="100"/>
      <c r="AM92" s="99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</row>
    <row r="93" spans="1:52" s="40" customFormat="1" ht="18" hidden="1" outlineLevel="1" x14ac:dyDescent="0.3">
      <c r="A93" s="96"/>
      <c r="B93" s="614"/>
      <c r="C93" s="755" t="s">
        <v>437</v>
      </c>
      <c r="D93" s="158"/>
      <c r="E93" s="158"/>
      <c r="F93" s="158"/>
      <c r="G93" s="158"/>
      <c r="H93" s="143" t="s">
        <v>542</v>
      </c>
      <c r="I93" s="495" t="s">
        <v>84</v>
      </c>
      <c r="J93" s="495" t="str">
        <f t="shared" si="49"/>
        <v>Add-On</v>
      </c>
      <c r="K93" s="495" t="str">
        <f t="shared" si="49"/>
        <v>Add-On</v>
      </c>
      <c r="L93" s="495" t="str">
        <f t="shared" si="49"/>
        <v>Add-On</v>
      </c>
      <c r="M93" s="495" t="str">
        <f t="shared" si="49"/>
        <v>Add-On</v>
      </c>
      <c r="N93" s="495" t="str">
        <f t="shared" si="49"/>
        <v>Add-On</v>
      </c>
      <c r="O93" s="495" t="str">
        <f t="shared" si="49"/>
        <v>Add-On</v>
      </c>
      <c r="P93" s="495" t="str">
        <f t="shared" si="49"/>
        <v>Add-On</v>
      </c>
      <c r="Q93" s="495" t="str">
        <f t="shared" si="49"/>
        <v>Add-On</v>
      </c>
      <c r="R93" s="495" t="str">
        <f t="shared" si="49"/>
        <v>Add-On</v>
      </c>
      <c r="S93" s="495" t="str">
        <f t="shared" si="49"/>
        <v>Add-On</v>
      </c>
      <c r="T93" s="495" t="str">
        <f t="shared" si="49"/>
        <v>Add-On</v>
      </c>
      <c r="U93" s="486"/>
      <c r="V93" s="261">
        <f>ROUND(U93*(1+$W$6),2)</f>
        <v>0</v>
      </c>
      <c r="W93" s="144"/>
      <c r="X93" s="145" t="s">
        <v>139</v>
      </c>
      <c r="Y93" s="99"/>
      <c r="Z93" s="419"/>
      <c r="AA93" s="644"/>
      <c r="AB93" s="546"/>
      <c r="AC93" s="99"/>
      <c r="AD93" s="99"/>
      <c r="AE93" s="99"/>
      <c r="AF93" s="99"/>
      <c r="AG93" s="99"/>
      <c r="AH93" s="100"/>
      <c r="AI93" s="100"/>
      <c r="AJ93" s="99"/>
      <c r="AK93" s="100"/>
      <c r="AL93" s="100"/>
      <c r="AM93" s="99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</row>
    <row r="94" spans="1:52" s="40" customFormat="1" ht="18" hidden="1" outlineLevel="1" x14ac:dyDescent="0.3">
      <c r="A94" s="96"/>
      <c r="B94" s="614"/>
      <c r="C94" s="142" t="s">
        <v>460</v>
      </c>
      <c r="D94" s="158"/>
      <c r="E94" s="158"/>
      <c r="F94" s="158"/>
      <c r="G94" s="158"/>
      <c r="H94" s="143"/>
      <c r="I94" s="495" t="s">
        <v>84</v>
      </c>
      <c r="J94" s="495" t="s">
        <v>364</v>
      </c>
      <c r="K94" s="495" t="s">
        <v>364</v>
      </c>
      <c r="L94" s="495" t="s">
        <v>364</v>
      </c>
      <c r="M94" s="495" t="s">
        <v>364</v>
      </c>
      <c r="N94" s="495" t="s">
        <v>364</v>
      </c>
      <c r="O94" s="495" t="s">
        <v>364</v>
      </c>
      <c r="P94" s="495" t="s">
        <v>364</v>
      </c>
      <c r="Q94" s="495" t="s">
        <v>364</v>
      </c>
      <c r="R94" s="495" t="s">
        <v>364</v>
      </c>
      <c r="S94" s="495" t="s">
        <v>364</v>
      </c>
      <c r="T94" s="495" t="s">
        <v>364</v>
      </c>
      <c r="U94" s="486"/>
      <c r="V94" s="261">
        <v>19.95</v>
      </c>
      <c r="W94" s="144"/>
      <c r="X94" s="145" t="s">
        <v>139</v>
      </c>
      <c r="Y94" s="99"/>
      <c r="Z94" s="419"/>
      <c r="AA94" s="644"/>
      <c r="AB94" s="546"/>
      <c r="AC94" s="99"/>
      <c r="AD94" s="99"/>
      <c r="AE94" s="99"/>
      <c r="AF94" s="99"/>
      <c r="AG94" s="99"/>
      <c r="AH94" s="100"/>
      <c r="AI94" s="100"/>
      <c r="AJ94" s="99"/>
      <c r="AK94" s="100"/>
      <c r="AL94" s="100"/>
      <c r="AM94" s="99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</row>
    <row r="95" spans="1:52" s="40" customFormat="1" ht="18" hidden="1" outlineLevel="1" x14ac:dyDescent="0.3">
      <c r="A95" s="96"/>
      <c r="B95" s="614"/>
      <c r="C95" s="142" t="s">
        <v>447</v>
      </c>
      <c r="D95" s="158"/>
      <c r="E95" s="158"/>
      <c r="F95" s="158"/>
      <c r="G95" s="158"/>
      <c r="H95" s="143"/>
      <c r="I95" s="495" t="s">
        <v>84</v>
      </c>
      <c r="J95" s="495" t="s">
        <v>364</v>
      </c>
      <c r="K95" s="495" t="s">
        <v>364</v>
      </c>
      <c r="L95" s="495" t="s">
        <v>364</v>
      </c>
      <c r="M95" s="495" t="s">
        <v>364</v>
      </c>
      <c r="N95" s="495" t="s">
        <v>364</v>
      </c>
      <c r="O95" s="495" t="s">
        <v>364</v>
      </c>
      <c r="P95" s="495" t="s">
        <v>364</v>
      </c>
      <c r="Q95" s="495" t="s">
        <v>364</v>
      </c>
      <c r="R95" s="495" t="s">
        <v>364</v>
      </c>
      <c r="S95" s="495" t="s">
        <v>364</v>
      </c>
      <c r="T95" s="495" t="s">
        <v>364</v>
      </c>
      <c r="U95" s="486"/>
      <c r="V95" s="261">
        <v>19.95</v>
      </c>
      <c r="W95" s="144"/>
      <c r="X95" s="145" t="s">
        <v>139</v>
      </c>
      <c r="Y95" s="99"/>
      <c r="Z95" s="419"/>
      <c r="AA95" s="644"/>
      <c r="AB95" s="546"/>
      <c r="AC95" s="99"/>
      <c r="AD95" s="99"/>
      <c r="AE95" s="99"/>
      <c r="AF95" s="99"/>
      <c r="AG95" s="99"/>
      <c r="AH95" s="100"/>
      <c r="AI95" s="100"/>
      <c r="AJ95" s="99"/>
      <c r="AK95" s="100"/>
      <c r="AL95" s="100"/>
      <c r="AM95" s="99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</row>
    <row r="96" spans="1:52" s="40" customFormat="1" ht="18" hidden="1" outlineLevel="1" x14ac:dyDescent="0.3">
      <c r="A96" s="96"/>
      <c r="B96" s="614"/>
      <c r="C96" s="755" t="s">
        <v>464</v>
      </c>
      <c r="D96" s="158"/>
      <c r="E96" s="158"/>
      <c r="F96" s="158"/>
      <c r="G96" s="158"/>
      <c r="H96" s="143" t="s">
        <v>542</v>
      </c>
      <c r="I96" s="495" t="s">
        <v>84</v>
      </c>
      <c r="J96" s="495" t="str">
        <f t="shared" ref="J96:T96" si="50">IF($B$72="x","enthalten","Add-On")</f>
        <v>Add-On</v>
      </c>
      <c r="K96" s="495" t="str">
        <f t="shared" si="50"/>
        <v>Add-On</v>
      </c>
      <c r="L96" s="495" t="str">
        <f t="shared" si="50"/>
        <v>Add-On</v>
      </c>
      <c r="M96" s="495" t="str">
        <f t="shared" si="50"/>
        <v>Add-On</v>
      </c>
      <c r="N96" s="495" t="str">
        <f t="shared" si="50"/>
        <v>Add-On</v>
      </c>
      <c r="O96" s="495" t="str">
        <f t="shared" si="50"/>
        <v>Add-On</v>
      </c>
      <c r="P96" s="495" t="str">
        <f t="shared" si="50"/>
        <v>Add-On</v>
      </c>
      <c r="Q96" s="495" t="str">
        <f t="shared" si="50"/>
        <v>Add-On</v>
      </c>
      <c r="R96" s="495" t="str">
        <f t="shared" si="50"/>
        <v>Add-On</v>
      </c>
      <c r="S96" s="495" t="str">
        <f t="shared" si="50"/>
        <v>Add-On</v>
      </c>
      <c r="T96" s="495" t="str">
        <f t="shared" si="50"/>
        <v>Add-On</v>
      </c>
      <c r="U96" s="486"/>
      <c r="V96" s="261">
        <f>ROUND(U96*(1+$W$6),2)</f>
        <v>0</v>
      </c>
      <c r="W96" s="144"/>
      <c r="X96" s="145" t="s">
        <v>139</v>
      </c>
      <c r="Y96" s="99"/>
      <c r="Z96" s="419"/>
      <c r="AA96" s="644"/>
      <c r="AB96" s="546"/>
      <c r="AC96" s="99"/>
      <c r="AD96" s="99"/>
      <c r="AE96" s="99"/>
      <c r="AF96" s="99"/>
      <c r="AG96" s="99"/>
      <c r="AH96" s="100"/>
      <c r="AI96" s="100"/>
      <c r="AJ96" s="99"/>
      <c r="AK96" s="100"/>
      <c r="AL96" s="100"/>
      <c r="AM96" s="99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</row>
    <row r="97" spans="1:52" s="40" customFormat="1" ht="18" hidden="1" outlineLevel="1" x14ac:dyDescent="0.3">
      <c r="A97" s="96"/>
      <c r="B97" s="614"/>
      <c r="C97" s="142" t="s">
        <v>456</v>
      </c>
      <c r="D97" s="158"/>
      <c r="E97" s="158"/>
      <c r="F97" s="158"/>
      <c r="G97" s="158"/>
      <c r="H97" s="143"/>
      <c r="I97" s="495" t="s">
        <v>84</v>
      </c>
      <c r="J97" s="495" t="s">
        <v>364</v>
      </c>
      <c r="K97" s="495" t="s">
        <v>364</v>
      </c>
      <c r="L97" s="495" t="s">
        <v>364</v>
      </c>
      <c r="M97" s="495" t="s">
        <v>364</v>
      </c>
      <c r="N97" s="495" t="s">
        <v>364</v>
      </c>
      <c r="O97" s="495" t="s">
        <v>364</v>
      </c>
      <c r="P97" s="495" t="s">
        <v>364</v>
      </c>
      <c r="Q97" s="495" t="s">
        <v>364</v>
      </c>
      <c r="R97" s="495" t="s">
        <v>364</v>
      </c>
      <c r="S97" s="495" t="s">
        <v>364</v>
      </c>
      <c r="T97" s="495" t="s">
        <v>364</v>
      </c>
      <c r="U97" s="486"/>
      <c r="V97" s="261">
        <v>19.95</v>
      </c>
      <c r="W97" s="144"/>
      <c r="X97" s="145" t="s">
        <v>139</v>
      </c>
      <c r="Y97" s="99"/>
      <c r="Z97" s="419"/>
      <c r="AA97" s="644"/>
      <c r="AB97" s="546"/>
      <c r="AC97" s="99"/>
      <c r="AD97" s="99"/>
      <c r="AE97" s="99"/>
      <c r="AF97" s="99"/>
      <c r="AG97" s="99"/>
      <c r="AH97" s="100"/>
      <c r="AI97" s="100"/>
      <c r="AJ97" s="99"/>
      <c r="AK97" s="100"/>
      <c r="AL97" s="100"/>
      <c r="AM97" s="99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</row>
    <row r="98" spans="1:52" s="40" customFormat="1" ht="18" hidden="1" outlineLevel="1" x14ac:dyDescent="0.3">
      <c r="A98" s="96"/>
      <c r="B98" s="614"/>
      <c r="C98" s="755" t="s">
        <v>438</v>
      </c>
      <c r="D98" s="158"/>
      <c r="E98" s="158"/>
      <c r="F98" s="158"/>
      <c r="G98" s="158"/>
      <c r="H98" s="143" t="s">
        <v>542</v>
      </c>
      <c r="I98" s="495" t="s">
        <v>84</v>
      </c>
      <c r="J98" s="495" t="str">
        <f t="shared" ref="J98:T98" si="51">IF($B$72="x","enthalten","Add-On")</f>
        <v>Add-On</v>
      </c>
      <c r="K98" s="495" t="str">
        <f t="shared" si="51"/>
        <v>Add-On</v>
      </c>
      <c r="L98" s="495" t="str">
        <f t="shared" si="51"/>
        <v>Add-On</v>
      </c>
      <c r="M98" s="495" t="str">
        <f t="shared" si="51"/>
        <v>Add-On</v>
      </c>
      <c r="N98" s="495" t="str">
        <f t="shared" si="51"/>
        <v>Add-On</v>
      </c>
      <c r="O98" s="495" t="str">
        <f t="shared" si="51"/>
        <v>Add-On</v>
      </c>
      <c r="P98" s="495" t="str">
        <f t="shared" si="51"/>
        <v>Add-On</v>
      </c>
      <c r="Q98" s="495" t="str">
        <f t="shared" si="51"/>
        <v>Add-On</v>
      </c>
      <c r="R98" s="495" t="str">
        <f t="shared" si="51"/>
        <v>Add-On</v>
      </c>
      <c r="S98" s="495" t="str">
        <f t="shared" si="51"/>
        <v>Add-On</v>
      </c>
      <c r="T98" s="495" t="str">
        <f t="shared" si="51"/>
        <v>Add-On</v>
      </c>
      <c r="U98" s="486"/>
      <c r="V98" s="261">
        <f>ROUND(U98*(1+$W$6),2)</f>
        <v>0</v>
      </c>
      <c r="W98" s="144"/>
      <c r="X98" s="145" t="s">
        <v>139</v>
      </c>
      <c r="Y98" s="99"/>
      <c r="Z98" s="419"/>
      <c r="AA98" s="644"/>
      <c r="AB98" s="546"/>
      <c r="AC98" s="99"/>
      <c r="AD98" s="99"/>
      <c r="AE98" s="99"/>
      <c r="AF98" s="99"/>
      <c r="AG98" s="99"/>
      <c r="AH98" s="100"/>
      <c r="AI98" s="100"/>
      <c r="AJ98" s="99"/>
      <c r="AK98" s="100"/>
      <c r="AL98" s="100"/>
      <c r="AM98" s="99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</row>
    <row r="99" spans="1:52" s="40" customFormat="1" ht="18" hidden="1" outlineLevel="1" x14ac:dyDescent="0.3">
      <c r="A99" s="96"/>
      <c r="B99" s="614"/>
      <c r="C99" s="142" t="s">
        <v>453</v>
      </c>
      <c r="D99" s="158"/>
      <c r="E99" s="158"/>
      <c r="F99" s="158"/>
      <c r="G99" s="158"/>
      <c r="H99" s="143"/>
      <c r="I99" s="495" t="s">
        <v>84</v>
      </c>
      <c r="J99" s="495" t="s">
        <v>364</v>
      </c>
      <c r="K99" s="495" t="s">
        <v>364</v>
      </c>
      <c r="L99" s="495" t="s">
        <v>364</v>
      </c>
      <c r="M99" s="495" t="s">
        <v>364</v>
      </c>
      <c r="N99" s="495" t="s">
        <v>364</v>
      </c>
      <c r="O99" s="495" t="s">
        <v>364</v>
      </c>
      <c r="P99" s="495" t="s">
        <v>364</v>
      </c>
      <c r="Q99" s="495" t="s">
        <v>364</v>
      </c>
      <c r="R99" s="495" t="s">
        <v>364</v>
      </c>
      <c r="S99" s="495" t="s">
        <v>364</v>
      </c>
      <c r="T99" s="495" t="s">
        <v>364</v>
      </c>
      <c r="U99" s="486"/>
      <c r="V99" s="261">
        <v>19.95</v>
      </c>
      <c r="W99" s="144"/>
      <c r="X99" s="145" t="s">
        <v>139</v>
      </c>
      <c r="Y99" s="99"/>
      <c r="Z99" s="419"/>
      <c r="AA99" s="644"/>
      <c r="AB99" s="546"/>
      <c r="AC99" s="99"/>
      <c r="AD99" s="99"/>
      <c r="AE99" s="99"/>
      <c r="AF99" s="99"/>
      <c r="AG99" s="99"/>
      <c r="AH99" s="100"/>
      <c r="AI99" s="100"/>
      <c r="AJ99" s="99"/>
      <c r="AK99" s="100"/>
      <c r="AL99" s="100"/>
      <c r="AM99" s="99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</row>
    <row r="100" spans="1:52" s="40" customFormat="1" ht="18" hidden="1" outlineLevel="1" x14ac:dyDescent="0.3">
      <c r="A100" s="96"/>
      <c r="B100" s="614"/>
      <c r="C100" s="755" t="s">
        <v>436</v>
      </c>
      <c r="D100" s="158"/>
      <c r="E100" s="158"/>
      <c r="F100" s="158"/>
      <c r="G100" s="158"/>
      <c r="H100" s="143" t="s">
        <v>542</v>
      </c>
      <c r="I100" s="495" t="s">
        <v>84</v>
      </c>
      <c r="J100" s="495" t="str">
        <f t="shared" ref="J100:T101" si="52">IF($B$72="x","enthalten","Add-On")</f>
        <v>Add-On</v>
      </c>
      <c r="K100" s="495" t="str">
        <f t="shared" si="52"/>
        <v>Add-On</v>
      </c>
      <c r="L100" s="495" t="str">
        <f t="shared" si="52"/>
        <v>Add-On</v>
      </c>
      <c r="M100" s="495" t="str">
        <f t="shared" si="52"/>
        <v>Add-On</v>
      </c>
      <c r="N100" s="495" t="str">
        <f t="shared" si="52"/>
        <v>Add-On</v>
      </c>
      <c r="O100" s="495" t="str">
        <f t="shared" si="52"/>
        <v>Add-On</v>
      </c>
      <c r="P100" s="495" t="str">
        <f t="shared" si="52"/>
        <v>Add-On</v>
      </c>
      <c r="Q100" s="495" t="str">
        <f t="shared" si="52"/>
        <v>Add-On</v>
      </c>
      <c r="R100" s="495" t="str">
        <f t="shared" si="52"/>
        <v>Add-On</v>
      </c>
      <c r="S100" s="495" t="str">
        <f t="shared" si="52"/>
        <v>Add-On</v>
      </c>
      <c r="T100" s="495" t="str">
        <f t="shared" si="52"/>
        <v>Add-On</v>
      </c>
      <c r="U100" s="486"/>
      <c r="V100" s="261">
        <v>19.95</v>
      </c>
      <c r="W100" s="144"/>
      <c r="X100" s="145" t="s">
        <v>139</v>
      </c>
      <c r="Y100" s="99"/>
      <c r="Z100" s="419"/>
      <c r="AA100" s="644"/>
      <c r="AB100" s="546"/>
      <c r="AC100" s="99"/>
      <c r="AD100" s="99"/>
      <c r="AE100" s="99"/>
      <c r="AF100" s="99"/>
      <c r="AG100" s="99"/>
      <c r="AH100" s="100"/>
      <c r="AI100" s="100"/>
      <c r="AJ100" s="99"/>
      <c r="AK100" s="100"/>
      <c r="AL100" s="100"/>
      <c r="AM100" s="99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</row>
    <row r="101" spans="1:52" s="40" customFormat="1" ht="18" hidden="1" outlineLevel="1" x14ac:dyDescent="0.3">
      <c r="A101" s="96"/>
      <c r="B101" s="614"/>
      <c r="C101" s="755" t="s">
        <v>293</v>
      </c>
      <c r="D101" s="158"/>
      <c r="E101" s="158"/>
      <c r="F101" s="158"/>
      <c r="G101" s="158"/>
      <c r="H101" s="143" t="s">
        <v>542</v>
      </c>
      <c r="I101" s="495" t="s">
        <v>84</v>
      </c>
      <c r="J101" s="495" t="str">
        <f t="shared" si="52"/>
        <v>Add-On</v>
      </c>
      <c r="K101" s="495" t="str">
        <f t="shared" si="52"/>
        <v>Add-On</v>
      </c>
      <c r="L101" s="495" t="str">
        <f t="shared" si="52"/>
        <v>Add-On</v>
      </c>
      <c r="M101" s="495" t="str">
        <f t="shared" si="52"/>
        <v>Add-On</v>
      </c>
      <c r="N101" s="495" t="str">
        <f t="shared" si="52"/>
        <v>Add-On</v>
      </c>
      <c r="O101" s="495" t="str">
        <f t="shared" si="52"/>
        <v>Add-On</v>
      </c>
      <c r="P101" s="495" t="str">
        <f t="shared" si="52"/>
        <v>Add-On</v>
      </c>
      <c r="Q101" s="495" t="str">
        <f t="shared" si="52"/>
        <v>Add-On</v>
      </c>
      <c r="R101" s="495" t="str">
        <f t="shared" si="52"/>
        <v>Add-On</v>
      </c>
      <c r="S101" s="495" t="str">
        <f t="shared" si="52"/>
        <v>Add-On</v>
      </c>
      <c r="T101" s="495" t="str">
        <f t="shared" si="52"/>
        <v>Add-On</v>
      </c>
      <c r="U101" s="486"/>
      <c r="V101" s="261">
        <f>ROUND(U101*(1+$W$6),2)</f>
        <v>0</v>
      </c>
      <c r="W101" s="144"/>
      <c r="X101" s="145" t="s">
        <v>139</v>
      </c>
      <c r="Y101" s="99"/>
      <c r="Z101" s="419"/>
      <c r="AA101" s="644"/>
      <c r="AB101" s="546"/>
      <c r="AC101" s="99"/>
      <c r="AD101" s="99"/>
      <c r="AE101" s="99"/>
      <c r="AF101" s="99"/>
      <c r="AG101" s="99"/>
      <c r="AH101" s="100"/>
      <c r="AI101" s="100"/>
      <c r="AJ101" s="99"/>
      <c r="AK101" s="100"/>
      <c r="AL101" s="100"/>
      <c r="AM101" s="99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</row>
    <row r="102" spans="1:52" s="40" customFormat="1" ht="18" hidden="1" outlineLevel="1" x14ac:dyDescent="0.3">
      <c r="A102" s="96"/>
      <c r="B102" s="614"/>
      <c r="C102" s="142" t="s">
        <v>458</v>
      </c>
      <c r="D102" s="158"/>
      <c r="E102" s="158"/>
      <c r="F102" s="158"/>
      <c r="G102" s="158"/>
      <c r="H102" s="143"/>
      <c r="I102" s="495" t="s">
        <v>84</v>
      </c>
      <c r="J102" s="495" t="s">
        <v>364</v>
      </c>
      <c r="K102" s="495" t="s">
        <v>364</v>
      </c>
      <c r="L102" s="495" t="s">
        <v>364</v>
      </c>
      <c r="M102" s="495" t="s">
        <v>364</v>
      </c>
      <c r="N102" s="495" t="s">
        <v>364</v>
      </c>
      <c r="O102" s="495" t="s">
        <v>364</v>
      </c>
      <c r="P102" s="495" t="s">
        <v>364</v>
      </c>
      <c r="Q102" s="495" t="s">
        <v>364</v>
      </c>
      <c r="R102" s="495" t="s">
        <v>364</v>
      </c>
      <c r="S102" s="495" t="s">
        <v>364</v>
      </c>
      <c r="T102" s="495" t="s">
        <v>364</v>
      </c>
      <c r="U102" s="486"/>
      <c r="V102" s="261">
        <v>19.95</v>
      </c>
      <c r="W102" s="144"/>
      <c r="X102" s="145" t="s">
        <v>139</v>
      </c>
      <c r="Y102" s="99"/>
      <c r="Z102" s="419"/>
      <c r="AA102" s="644"/>
      <c r="AB102" s="546"/>
      <c r="AC102" s="99"/>
      <c r="AD102" s="99"/>
      <c r="AE102" s="99"/>
      <c r="AF102" s="99"/>
      <c r="AG102" s="99"/>
      <c r="AH102" s="100"/>
      <c r="AI102" s="100"/>
      <c r="AJ102" s="99"/>
      <c r="AK102" s="100"/>
      <c r="AL102" s="100"/>
      <c r="AM102" s="99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</row>
    <row r="103" spans="1:52" s="40" customFormat="1" ht="18" hidden="1" outlineLevel="1" x14ac:dyDescent="0.3">
      <c r="A103" s="96"/>
      <c r="B103" s="614"/>
      <c r="C103" s="142" t="s">
        <v>448</v>
      </c>
      <c r="D103" s="158"/>
      <c r="E103" s="158"/>
      <c r="F103" s="158"/>
      <c r="G103" s="158"/>
      <c r="H103" s="143"/>
      <c r="I103" s="495" t="s">
        <v>84</v>
      </c>
      <c r="J103" s="495" t="s">
        <v>364</v>
      </c>
      <c r="K103" s="495" t="s">
        <v>364</v>
      </c>
      <c r="L103" s="495" t="s">
        <v>364</v>
      </c>
      <c r="M103" s="495" t="s">
        <v>364</v>
      </c>
      <c r="N103" s="495" t="s">
        <v>364</v>
      </c>
      <c r="O103" s="495" t="s">
        <v>364</v>
      </c>
      <c r="P103" s="495" t="s">
        <v>364</v>
      </c>
      <c r="Q103" s="495" t="s">
        <v>364</v>
      </c>
      <c r="R103" s="495" t="s">
        <v>364</v>
      </c>
      <c r="S103" s="495" t="s">
        <v>364</v>
      </c>
      <c r="T103" s="495" t="s">
        <v>364</v>
      </c>
      <c r="U103" s="486"/>
      <c r="V103" s="261">
        <v>19.95</v>
      </c>
      <c r="W103" s="144"/>
      <c r="X103" s="145" t="s">
        <v>139</v>
      </c>
      <c r="Y103" s="99"/>
      <c r="Z103" s="419"/>
      <c r="AA103" s="644"/>
      <c r="AB103" s="546"/>
      <c r="AC103" s="99"/>
      <c r="AD103" s="99"/>
      <c r="AE103" s="99"/>
      <c r="AF103" s="99"/>
      <c r="AG103" s="99"/>
      <c r="AH103" s="100"/>
      <c r="AI103" s="100"/>
      <c r="AJ103" s="99"/>
      <c r="AK103" s="100"/>
      <c r="AL103" s="100"/>
      <c r="AM103" s="99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</row>
    <row r="104" spans="1:52" s="40" customFormat="1" ht="18" hidden="1" outlineLevel="1" x14ac:dyDescent="0.3">
      <c r="A104" s="96"/>
      <c r="B104" s="614"/>
      <c r="C104" s="142" t="s">
        <v>459</v>
      </c>
      <c r="D104" s="158"/>
      <c r="E104" s="158"/>
      <c r="F104" s="158"/>
      <c r="G104" s="158"/>
      <c r="H104" s="143"/>
      <c r="I104" s="495" t="s">
        <v>84</v>
      </c>
      <c r="J104" s="495" t="s">
        <v>364</v>
      </c>
      <c r="K104" s="495" t="s">
        <v>364</v>
      </c>
      <c r="L104" s="495" t="s">
        <v>364</v>
      </c>
      <c r="M104" s="495" t="s">
        <v>364</v>
      </c>
      <c r="N104" s="495" t="s">
        <v>364</v>
      </c>
      <c r="O104" s="495" t="s">
        <v>364</v>
      </c>
      <c r="P104" s="495" t="s">
        <v>364</v>
      </c>
      <c r="Q104" s="495" t="s">
        <v>364</v>
      </c>
      <c r="R104" s="495" t="s">
        <v>364</v>
      </c>
      <c r="S104" s="495" t="s">
        <v>364</v>
      </c>
      <c r="T104" s="495" t="s">
        <v>364</v>
      </c>
      <c r="U104" s="486"/>
      <c r="V104" s="261">
        <v>19.95</v>
      </c>
      <c r="W104" s="144"/>
      <c r="X104" s="145" t="s">
        <v>139</v>
      </c>
      <c r="Y104" s="99"/>
      <c r="Z104" s="419"/>
      <c r="AA104" s="644"/>
      <c r="AB104" s="546"/>
      <c r="AC104" s="99"/>
      <c r="AD104" s="99"/>
      <c r="AE104" s="99"/>
      <c r="AF104" s="99"/>
      <c r="AG104" s="99"/>
      <c r="AH104" s="100"/>
      <c r="AI104" s="100"/>
      <c r="AJ104" s="99"/>
      <c r="AK104" s="100"/>
      <c r="AL104" s="100"/>
      <c r="AM104" s="99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</row>
    <row r="105" spans="1:52" s="40" customFormat="1" ht="18" hidden="1" outlineLevel="1" collapsed="1" x14ac:dyDescent="0.3">
      <c r="A105" s="96"/>
      <c r="B105" s="613"/>
      <c r="C105" s="416" t="s">
        <v>467</v>
      </c>
      <c r="D105" s="158"/>
      <c r="E105" s="158"/>
      <c r="F105" s="158"/>
      <c r="G105" s="158"/>
      <c r="H105" s="143"/>
      <c r="I105" s="495"/>
      <c r="J105" s="495"/>
      <c r="K105" s="267"/>
      <c r="L105" s="267"/>
      <c r="M105" s="267"/>
      <c r="N105" s="267"/>
      <c r="O105" s="267"/>
      <c r="P105" s="267"/>
      <c r="Q105" s="267"/>
      <c r="R105" s="267"/>
      <c r="S105" s="267"/>
      <c r="T105" s="267"/>
      <c r="U105" s="486"/>
      <c r="V105" s="261"/>
      <c r="W105" s="144"/>
      <c r="X105" s="417"/>
      <c r="Y105" s="99"/>
      <c r="Z105" s="419" t="s">
        <v>2</v>
      </c>
      <c r="AA105" s="644">
        <f t="shared" ref="AA105" si="53">D105</f>
        <v>0</v>
      </c>
      <c r="AB105" s="546" t="e">
        <f t="shared" ref="AB105" si="54">V105/W105</f>
        <v>#DIV/0!</v>
      </c>
      <c r="AC105" s="99"/>
      <c r="AD105" s="99"/>
      <c r="AE105" s="99"/>
      <c r="AF105" s="99"/>
      <c r="AG105" s="99"/>
      <c r="AH105" s="100"/>
      <c r="AI105" s="100"/>
      <c r="AJ105" s="99"/>
      <c r="AK105" s="100"/>
      <c r="AL105" s="100"/>
      <c r="AM105" s="99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</row>
    <row r="106" spans="1:52" s="40" customFormat="1" ht="18" hidden="1" outlineLevel="1" x14ac:dyDescent="0.3">
      <c r="A106" s="96"/>
      <c r="B106" s="614"/>
      <c r="C106" s="142" t="s">
        <v>468</v>
      </c>
      <c r="D106" s="158"/>
      <c r="E106" s="158"/>
      <c r="F106" s="158"/>
      <c r="G106" s="158"/>
      <c r="H106" s="143"/>
      <c r="I106" s="495" t="s">
        <v>84</v>
      </c>
      <c r="J106" s="495" t="s">
        <v>364</v>
      </c>
      <c r="K106" s="495" t="s">
        <v>364</v>
      </c>
      <c r="L106" s="495" t="s">
        <v>364</v>
      </c>
      <c r="M106" s="495" t="s">
        <v>364</v>
      </c>
      <c r="N106" s="495" t="s">
        <v>364</v>
      </c>
      <c r="O106" s="267" t="s">
        <v>364</v>
      </c>
      <c r="P106" s="267" t="s">
        <v>364</v>
      </c>
      <c r="Q106" s="267" t="s">
        <v>364</v>
      </c>
      <c r="R106" s="267" t="s">
        <v>364</v>
      </c>
      <c r="S106" s="267" t="s">
        <v>364</v>
      </c>
      <c r="T106" s="267" t="s">
        <v>364</v>
      </c>
      <c r="U106" s="486"/>
      <c r="V106" s="261">
        <f t="shared" ref="V106:V137" si="55">ROUND(U106*1.19,2)</f>
        <v>0</v>
      </c>
      <c r="W106" s="144"/>
      <c r="X106" s="145" t="s">
        <v>541</v>
      </c>
      <c r="Y106" s="99"/>
      <c r="Z106" s="419"/>
      <c r="AA106" s="644"/>
      <c r="AB106" s="546"/>
      <c r="AC106" s="99"/>
      <c r="AD106" s="99"/>
      <c r="AE106" s="99"/>
      <c r="AF106" s="99"/>
      <c r="AG106" s="99"/>
      <c r="AH106" s="100"/>
      <c r="AI106" s="100"/>
      <c r="AJ106" s="99"/>
      <c r="AK106" s="100"/>
      <c r="AL106" s="100"/>
      <c r="AM106" s="99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</row>
    <row r="107" spans="1:52" s="40" customFormat="1" ht="18" hidden="1" outlineLevel="1" x14ac:dyDescent="0.3">
      <c r="A107" s="96"/>
      <c r="B107" s="614"/>
      <c r="C107" s="142" t="s">
        <v>469</v>
      </c>
      <c r="D107" s="158"/>
      <c r="E107" s="158"/>
      <c r="F107" s="158"/>
      <c r="G107" s="158"/>
      <c r="H107" s="143" t="s">
        <v>543</v>
      </c>
      <c r="I107" s="495" t="s">
        <v>84</v>
      </c>
      <c r="J107" s="495" t="str">
        <f t="shared" ref="J107:T116" si="56">IF($B$106="x","enthalten","Add-On")</f>
        <v>Add-On</v>
      </c>
      <c r="K107" s="495" t="str">
        <f t="shared" si="56"/>
        <v>Add-On</v>
      </c>
      <c r="L107" s="495" t="str">
        <f t="shared" si="56"/>
        <v>Add-On</v>
      </c>
      <c r="M107" s="495" t="str">
        <f t="shared" si="56"/>
        <v>Add-On</v>
      </c>
      <c r="N107" s="495" t="str">
        <f t="shared" si="56"/>
        <v>Add-On</v>
      </c>
      <c r="O107" s="495" t="str">
        <f t="shared" si="56"/>
        <v>Add-On</v>
      </c>
      <c r="P107" s="495" t="str">
        <f t="shared" si="56"/>
        <v>Add-On</v>
      </c>
      <c r="Q107" s="495" t="str">
        <f t="shared" si="56"/>
        <v>Add-On</v>
      </c>
      <c r="R107" s="495" t="str">
        <f t="shared" si="56"/>
        <v>Add-On</v>
      </c>
      <c r="S107" s="495" t="str">
        <f t="shared" si="56"/>
        <v>Add-On</v>
      </c>
      <c r="T107" s="495" t="str">
        <f t="shared" si="56"/>
        <v>Add-On</v>
      </c>
      <c r="U107" s="486"/>
      <c r="V107" s="261">
        <f t="shared" si="55"/>
        <v>0</v>
      </c>
      <c r="W107" s="144"/>
      <c r="X107" s="145" t="s">
        <v>540</v>
      </c>
      <c r="Y107" s="99"/>
      <c r="Z107" s="419"/>
      <c r="AA107" s="644"/>
      <c r="AB107" s="546"/>
      <c r="AC107" s="99"/>
      <c r="AD107" s="99"/>
      <c r="AE107" s="99"/>
      <c r="AF107" s="99"/>
      <c r="AG107" s="99"/>
      <c r="AH107" s="100"/>
      <c r="AI107" s="100"/>
      <c r="AJ107" s="99"/>
      <c r="AK107" s="100"/>
      <c r="AL107" s="100"/>
      <c r="AM107" s="99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</row>
    <row r="108" spans="1:52" s="40" customFormat="1" ht="18" hidden="1" outlineLevel="1" x14ac:dyDescent="0.3">
      <c r="A108" s="96"/>
      <c r="B108" s="614"/>
      <c r="C108" s="142" t="s">
        <v>471</v>
      </c>
      <c r="D108" s="158"/>
      <c r="E108" s="158"/>
      <c r="F108" s="158"/>
      <c r="G108" s="158"/>
      <c r="H108" s="143" t="s">
        <v>543</v>
      </c>
      <c r="I108" s="495" t="s">
        <v>84</v>
      </c>
      <c r="J108" s="495" t="str">
        <f t="shared" si="56"/>
        <v>Add-On</v>
      </c>
      <c r="K108" s="495" t="str">
        <f t="shared" si="56"/>
        <v>Add-On</v>
      </c>
      <c r="L108" s="495" t="str">
        <f t="shared" si="56"/>
        <v>Add-On</v>
      </c>
      <c r="M108" s="495" t="str">
        <f t="shared" si="56"/>
        <v>Add-On</v>
      </c>
      <c r="N108" s="495" t="str">
        <f t="shared" si="56"/>
        <v>Add-On</v>
      </c>
      <c r="O108" s="495" t="str">
        <f t="shared" si="56"/>
        <v>Add-On</v>
      </c>
      <c r="P108" s="495" t="str">
        <f t="shared" si="56"/>
        <v>Add-On</v>
      </c>
      <c r="Q108" s="495" t="str">
        <f t="shared" si="56"/>
        <v>Add-On</v>
      </c>
      <c r="R108" s="495" t="str">
        <f t="shared" si="56"/>
        <v>Add-On</v>
      </c>
      <c r="S108" s="495" t="str">
        <f t="shared" si="56"/>
        <v>Add-On</v>
      </c>
      <c r="T108" s="495" t="str">
        <f t="shared" si="56"/>
        <v>Add-On</v>
      </c>
      <c r="U108" s="486"/>
      <c r="V108" s="261">
        <f t="shared" si="55"/>
        <v>0</v>
      </c>
      <c r="W108" s="144"/>
      <c r="X108" s="145" t="s">
        <v>540</v>
      </c>
      <c r="Y108" s="99"/>
      <c r="Z108" s="419" t="s">
        <v>2</v>
      </c>
      <c r="AA108" s="644">
        <f>D108</f>
        <v>0</v>
      </c>
      <c r="AB108" s="546" t="e">
        <f>V108/W108</f>
        <v>#DIV/0!</v>
      </c>
      <c r="AC108" s="99"/>
      <c r="AD108" s="99"/>
      <c r="AE108" s="99"/>
      <c r="AF108" s="99"/>
      <c r="AG108" s="99"/>
      <c r="AH108" s="100"/>
      <c r="AI108" s="100"/>
      <c r="AJ108" s="99"/>
      <c r="AK108" s="100"/>
      <c r="AL108" s="100"/>
      <c r="AM108" s="99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</row>
    <row r="109" spans="1:52" s="40" customFormat="1" ht="18" hidden="1" outlineLevel="1" x14ac:dyDescent="0.3">
      <c r="A109" s="96"/>
      <c r="B109" s="614"/>
      <c r="C109" s="142" t="s">
        <v>472</v>
      </c>
      <c r="D109" s="158"/>
      <c r="E109" s="158"/>
      <c r="F109" s="158"/>
      <c r="G109" s="158"/>
      <c r="H109" s="143" t="s">
        <v>543</v>
      </c>
      <c r="I109" s="495" t="s">
        <v>84</v>
      </c>
      <c r="J109" s="495" t="str">
        <f t="shared" si="56"/>
        <v>Add-On</v>
      </c>
      <c r="K109" s="495" t="str">
        <f t="shared" si="56"/>
        <v>Add-On</v>
      </c>
      <c r="L109" s="495" t="str">
        <f t="shared" si="56"/>
        <v>Add-On</v>
      </c>
      <c r="M109" s="495" t="str">
        <f t="shared" si="56"/>
        <v>Add-On</v>
      </c>
      <c r="N109" s="495" t="str">
        <f t="shared" si="56"/>
        <v>Add-On</v>
      </c>
      <c r="O109" s="495" t="str">
        <f t="shared" si="56"/>
        <v>Add-On</v>
      </c>
      <c r="P109" s="495" t="str">
        <f t="shared" si="56"/>
        <v>Add-On</v>
      </c>
      <c r="Q109" s="495" t="str">
        <f t="shared" si="56"/>
        <v>Add-On</v>
      </c>
      <c r="R109" s="495" t="str">
        <f t="shared" si="56"/>
        <v>Add-On</v>
      </c>
      <c r="S109" s="495" t="str">
        <f t="shared" si="56"/>
        <v>Add-On</v>
      </c>
      <c r="T109" s="495" t="str">
        <f t="shared" si="56"/>
        <v>Add-On</v>
      </c>
      <c r="U109" s="486"/>
      <c r="V109" s="261">
        <f t="shared" si="55"/>
        <v>0</v>
      </c>
      <c r="W109" s="144"/>
      <c r="X109" s="145" t="s">
        <v>540</v>
      </c>
      <c r="Y109" s="99"/>
      <c r="Z109" s="419" t="s">
        <v>2</v>
      </c>
      <c r="AA109" s="644">
        <f>D109</f>
        <v>0</v>
      </c>
      <c r="AB109" s="546" t="e">
        <f>V109/W109</f>
        <v>#DIV/0!</v>
      </c>
      <c r="AC109" s="99"/>
      <c r="AD109" s="99"/>
      <c r="AE109" s="99"/>
      <c r="AF109" s="99"/>
      <c r="AG109" s="99"/>
      <c r="AH109" s="100"/>
      <c r="AI109" s="100"/>
      <c r="AJ109" s="99"/>
      <c r="AK109" s="100"/>
      <c r="AL109" s="100"/>
      <c r="AM109" s="99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</row>
    <row r="110" spans="1:52" s="40" customFormat="1" ht="18" hidden="1" outlineLevel="1" x14ac:dyDescent="0.3">
      <c r="A110" s="96"/>
      <c r="B110" s="614"/>
      <c r="C110" s="142" t="s">
        <v>473</v>
      </c>
      <c r="D110" s="158"/>
      <c r="E110" s="158"/>
      <c r="F110" s="158"/>
      <c r="G110" s="158"/>
      <c r="H110" s="143" t="s">
        <v>543</v>
      </c>
      <c r="I110" s="495" t="s">
        <v>84</v>
      </c>
      <c r="J110" s="495" t="str">
        <f t="shared" si="56"/>
        <v>Add-On</v>
      </c>
      <c r="K110" s="495" t="str">
        <f t="shared" si="56"/>
        <v>Add-On</v>
      </c>
      <c r="L110" s="495" t="str">
        <f t="shared" si="56"/>
        <v>Add-On</v>
      </c>
      <c r="M110" s="495" t="str">
        <f t="shared" si="56"/>
        <v>Add-On</v>
      </c>
      <c r="N110" s="495" t="str">
        <f t="shared" si="56"/>
        <v>Add-On</v>
      </c>
      <c r="O110" s="495" t="str">
        <f t="shared" si="56"/>
        <v>Add-On</v>
      </c>
      <c r="P110" s="495" t="str">
        <f t="shared" si="56"/>
        <v>Add-On</v>
      </c>
      <c r="Q110" s="495" t="str">
        <f t="shared" si="56"/>
        <v>Add-On</v>
      </c>
      <c r="R110" s="495" t="str">
        <f t="shared" si="56"/>
        <v>Add-On</v>
      </c>
      <c r="S110" s="495" t="str">
        <f t="shared" si="56"/>
        <v>Add-On</v>
      </c>
      <c r="T110" s="495" t="str">
        <f t="shared" si="56"/>
        <v>Add-On</v>
      </c>
      <c r="U110" s="486"/>
      <c r="V110" s="261">
        <f t="shared" si="55"/>
        <v>0</v>
      </c>
      <c r="W110" s="144"/>
      <c r="X110" s="145" t="s">
        <v>540</v>
      </c>
      <c r="Y110" s="99"/>
      <c r="Z110" s="419" t="s">
        <v>2</v>
      </c>
      <c r="AA110" s="644">
        <f>D110</f>
        <v>0</v>
      </c>
      <c r="AB110" s="546" t="e">
        <f>V110/W110</f>
        <v>#DIV/0!</v>
      </c>
      <c r="AC110" s="99"/>
      <c r="AD110" s="99"/>
      <c r="AE110" s="99"/>
      <c r="AF110" s="99"/>
      <c r="AG110" s="99"/>
      <c r="AH110" s="100"/>
      <c r="AI110" s="100"/>
      <c r="AJ110" s="99"/>
      <c r="AK110" s="100"/>
      <c r="AL110" s="100"/>
      <c r="AM110" s="99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</row>
    <row r="111" spans="1:52" s="40" customFormat="1" ht="18" hidden="1" outlineLevel="1" x14ac:dyDescent="0.3">
      <c r="A111" s="96"/>
      <c r="B111" s="614"/>
      <c r="C111" s="142" t="s">
        <v>474</v>
      </c>
      <c r="D111" s="158"/>
      <c r="E111" s="158"/>
      <c r="F111" s="158"/>
      <c r="G111" s="158"/>
      <c r="H111" s="143" t="s">
        <v>543</v>
      </c>
      <c r="I111" s="495" t="s">
        <v>84</v>
      </c>
      <c r="J111" s="495" t="str">
        <f t="shared" si="56"/>
        <v>Add-On</v>
      </c>
      <c r="K111" s="495" t="str">
        <f t="shared" si="56"/>
        <v>Add-On</v>
      </c>
      <c r="L111" s="495" t="str">
        <f t="shared" si="56"/>
        <v>Add-On</v>
      </c>
      <c r="M111" s="495" t="str">
        <f t="shared" si="56"/>
        <v>Add-On</v>
      </c>
      <c r="N111" s="495" t="str">
        <f t="shared" si="56"/>
        <v>Add-On</v>
      </c>
      <c r="O111" s="495" t="str">
        <f t="shared" si="56"/>
        <v>Add-On</v>
      </c>
      <c r="P111" s="495" t="str">
        <f t="shared" si="56"/>
        <v>Add-On</v>
      </c>
      <c r="Q111" s="495" t="str">
        <f t="shared" si="56"/>
        <v>Add-On</v>
      </c>
      <c r="R111" s="495" t="str">
        <f t="shared" si="56"/>
        <v>Add-On</v>
      </c>
      <c r="S111" s="495" t="str">
        <f t="shared" si="56"/>
        <v>Add-On</v>
      </c>
      <c r="T111" s="495" t="str">
        <f t="shared" si="56"/>
        <v>Add-On</v>
      </c>
      <c r="U111" s="486"/>
      <c r="V111" s="261">
        <f t="shared" si="55"/>
        <v>0</v>
      </c>
      <c r="W111" s="144"/>
      <c r="X111" s="145" t="s">
        <v>540</v>
      </c>
      <c r="Y111" s="99"/>
      <c r="Z111" s="419"/>
      <c r="AA111" s="644"/>
      <c r="AB111" s="546"/>
      <c r="AC111" s="99"/>
      <c r="AD111" s="99"/>
      <c r="AE111" s="99"/>
      <c r="AF111" s="99"/>
      <c r="AG111" s="99"/>
      <c r="AH111" s="100"/>
      <c r="AI111" s="100"/>
      <c r="AJ111" s="99"/>
      <c r="AK111" s="100"/>
      <c r="AL111" s="100"/>
      <c r="AM111" s="99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</row>
    <row r="112" spans="1:52" s="40" customFormat="1" ht="18" hidden="1" outlineLevel="1" x14ac:dyDescent="0.3">
      <c r="A112" s="96"/>
      <c r="B112" s="614"/>
      <c r="C112" s="142" t="s">
        <v>477</v>
      </c>
      <c r="D112" s="158"/>
      <c r="E112" s="158"/>
      <c r="F112" s="158"/>
      <c r="G112" s="158"/>
      <c r="H112" s="143" t="s">
        <v>543</v>
      </c>
      <c r="I112" s="495" t="s">
        <v>84</v>
      </c>
      <c r="J112" s="495" t="str">
        <f t="shared" si="56"/>
        <v>Add-On</v>
      </c>
      <c r="K112" s="495" t="str">
        <f t="shared" si="56"/>
        <v>Add-On</v>
      </c>
      <c r="L112" s="495" t="str">
        <f t="shared" si="56"/>
        <v>Add-On</v>
      </c>
      <c r="M112" s="495" t="str">
        <f t="shared" si="56"/>
        <v>Add-On</v>
      </c>
      <c r="N112" s="495" t="str">
        <f t="shared" si="56"/>
        <v>Add-On</v>
      </c>
      <c r="O112" s="495" t="str">
        <f t="shared" si="56"/>
        <v>Add-On</v>
      </c>
      <c r="P112" s="495" t="str">
        <f t="shared" si="56"/>
        <v>Add-On</v>
      </c>
      <c r="Q112" s="495" t="str">
        <f t="shared" si="56"/>
        <v>Add-On</v>
      </c>
      <c r="R112" s="495" t="str">
        <f t="shared" si="56"/>
        <v>Add-On</v>
      </c>
      <c r="S112" s="495" t="str">
        <f t="shared" si="56"/>
        <v>Add-On</v>
      </c>
      <c r="T112" s="495" t="str">
        <f t="shared" si="56"/>
        <v>Add-On</v>
      </c>
      <c r="U112" s="486"/>
      <c r="V112" s="261">
        <f t="shared" si="55"/>
        <v>0</v>
      </c>
      <c r="W112" s="144"/>
      <c r="X112" s="145" t="s">
        <v>540</v>
      </c>
      <c r="Y112" s="99"/>
      <c r="Z112" s="419" t="s">
        <v>2</v>
      </c>
      <c r="AA112" s="644">
        <f>D112</f>
        <v>0</v>
      </c>
      <c r="AB112" s="546" t="e">
        <f>V112/W112</f>
        <v>#DIV/0!</v>
      </c>
      <c r="AC112" s="99"/>
      <c r="AD112" s="99"/>
      <c r="AE112" s="99"/>
      <c r="AF112" s="99"/>
      <c r="AG112" s="99"/>
      <c r="AH112" s="100"/>
      <c r="AI112" s="100"/>
      <c r="AJ112" s="99"/>
      <c r="AK112" s="100"/>
      <c r="AL112" s="100"/>
      <c r="AM112" s="99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</row>
    <row r="113" spans="1:52" s="40" customFormat="1" ht="18" hidden="1" outlineLevel="1" x14ac:dyDescent="0.3">
      <c r="A113" s="96"/>
      <c r="B113" s="614"/>
      <c r="C113" s="142" t="s">
        <v>478</v>
      </c>
      <c r="D113" s="158"/>
      <c r="E113" s="158"/>
      <c r="F113" s="158"/>
      <c r="G113" s="158"/>
      <c r="H113" s="143" t="s">
        <v>543</v>
      </c>
      <c r="I113" s="495" t="s">
        <v>84</v>
      </c>
      <c r="J113" s="495" t="str">
        <f t="shared" si="56"/>
        <v>Add-On</v>
      </c>
      <c r="K113" s="495" t="str">
        <f t="shared" si="56"/>
        <v>Add-On</v>
      </c>
      <c r="L113" s="495" t="str">
        <f t="shared" si="56"/>
        <v>Add-On</v>
      </c>
      <c r="M113" s="495" t="str">
        <f t="shared" si="56"/>
        <v>Add-On</v>
      </c>
      <c r="N113" s="495" t="str">
        <f t="shared" si="56"/>
        <v>Add-On</v>
      </c>
      <c r="O113" s="495" t="str">
        <f t="shared" si="56"/>
        <v>Add-On</v>
      </c>
      <c r="P113" s="495" t="str">
        <f t="shared" si="56"/>
        <v>Add-On</v>
      </c>
      <c r="Q113" s="495" t="str">
        <f t="shared" si="56"/>
        <v>Add-On</v>
      </c>
      <c r="R113" s="495" t="str">
        <f t="shared" si="56"/>
        <v>Add-On</v>
      </c>
      <c r="S113" s="495" t="str">
        <f t="shared" si="56"/>
        <v>Add-On</v>
      </c>
      <c r="T113" s="495" t="str">
        <f t="shared" si="56"/>
        <v>Add-On</v>
      </c>
      <c r="U113" s="486"/>
      <c r="V113" s="261">
        <f t="shared" si="55"/>
        <v>0</v>
      </c>
      <c r="W113" s="144"/>
      <c r="X113" s="145" t="s">
        <v>540</v>
      </c>
      <c r="Y113" s="99"/>
      <c r="Z113" s="419" t="s">
        <v>2</v>
      </c>
      <c r="AA113" s="644">
        <f>D113</f>
        <v>0</v>
      </c>
      <c r="AB113" s="546" t="e">
        <f>V113/W113</f>
        <v>#DIV/0!</v>
      </c>
      <c r="AC113" s="99"/>
      <c r="AD113" s="99"/>
      <c r="AE113" s="99"/>
      <c r="AF113" s="99"/>
      <c r="AG113" s="99"/>
      <c r="AH113" s="100"/>
      <c r="AI113" s="100"/>
      <c r="AJ113" s="99"/>
      <c r="AK113" s="100"/>
      <c r="AL113" s="100"/>
      <c r="AM113" s="99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</row>
    <row r="114" spans="1:52" s="40" customFormat="1" ht="18" hidden="1" outlineLevel="1" x14ac:dyDescent="0.3">
      <c r="A114" s="96"/>
      <c r="B114" s="614"/>
      <c r="C114" s="142" t="s">
        <v>479</v>
      </c>
      <c r="D114" s="158"/>
      <c r="E114" s="158"/>
      <c r="F114" s="158"/>
      <c r="G114" s="158"/>
      <c r="H114" s="143" t="s">
        <v>543</v>
      </c>
      <c r="I114" s="495" t="s">
        <v>84</v>
      </c>
      <c r="J114" s="495" t="str">
        <f t="shared" si="56"/>
        <v>Add-On</v>
      </c>
      <c r="K114" s="495" t="str">
        <f t="shared" si="56"/>
        <v>Add-On</v>
      </c>
      <c r="L114" s="495" t="str">
        <f t="shared" si="56"/>
        <v>Add-On</v>
      </c>
      <c r="M114" s="495" t="str">
        <f t="shared" si="56"/>
        <v>Add-On</v>
      </c>
      <c r="N114" s="495" t="str">
        <f t="shared" si="56"/>
        <v>Add-On</v>
      </c>
      <c r="O114" s="495" t="str">
        <f t="shared" si="56"/>
        <v>Add-On</v>
      </c>
      <c r="P114" s="495" t="str">
        <f t="shared" si="56"/>
        <v>Add-On</v>
      </c>
      <c r="Q114" s="495" t="str">
        <f t="shared" si="56"/>
        <v>Add-On</v>
      </c>
      <c r="R114" s="495" t="str">
        <f t="shared" si="56"/>
        <v>Add-On</v>
      </c>
      <c r="S114" s="495" t="str">
        <f t="shared" si="56"/>
        <v>Add-On</v>
      </c>
      <c r="T114" s="495" t="str">
        <f t="shared" si="56"/>
        <v>Add-On</v>
      </c>
      <c r="U114" s="486"/>
      <c r="V114" s="261">
        <f t="shared" si="55"/>
        <v>0</v>
      </c>
      <c r="W114" s="144"/>
      <c r="X114" s="145" t="s">
        <v>540</v>
      </c>
      <c r="Y114" s="99"/>
      <c r="Z114" s="419"/>
      <c r="AA114" s="644"/>
      <c r="AB114" s="546"/>
      <c r="AC114" s="99"/>
      <c r="AD114" s="99"/>
      <c r="AE114" s="99"/>
      <c r="AF114" s="99"/>
      <c r="AG114" s="99"/>
      <c r="AH114" s="100"/>
      <c r="AI114" s="100"/>
      <c r="AJ114" s="99"/>
      <c r="AK114" s="100"/>
      <c r="AL114" s="100"/>
      <c r="AM114" s="99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</row>
    <row r="115" spans="1:52" s="40" customFormat="1" ht="18" hidden="1" outlineLevel="1" x14ac:dyDescent="0.3">
      <c r="A115" s="96"/>
      <c r="B115" s="614"/>
      <c r="C115" s="142" t="s">
        <v>475</v>
      </c>
      <c r="D115" s="158"/>
      <c r="E115" s="158"/>
      <c r="F115" s="158"/>
      <c r="G115" s="158"/>
      <c r="H115" s="143" t="s">
        <v>543</v>
      </c>
      <c r="I115" s="495" t="s">
        <v>84</v>
      </c>
      <c r="J115" s="495" t="str">
        <f t="shared" si="56"/>
        <v>Add-On</v>
      </c>
      <c r="K115" s="495" t="str">
        <f t="shared" si="56"/>
        <v>Add-On</v>
      </c>
      <c r="L115" s="495" t="str">
        <f t="shared" si="56"/>
        <v>Add-On</v>
      </c>
      <c r="M115" s="495" t="str">
        <f t="shared" si="56"/>
        <v>Add-On</v>
      </c>
      <c r="N115" s="495" t="str">
        <f t="shared" si="56"/>
        <v>Add-On</v>
      </c>
      <c r="O115" s="495" t="str">
        <f t="shared" si="56"/>
        <v>Add-On</v>
      </c>
      <c r="P115" s="495" t="str">
        <f t="shared" si="56"/>
        <v>Add-On</v>
      </c>
      <c r="Q115" s="495" t="str">
        <f t="shared" si="56"/>
        <v>Add-On</v>
      </c>
      <c r="R115" s="495" t="str">
        <f t="shared" si="56"/>
        <v>Add-On</v>
      </c>
      <c r="S115" s="495" t="str">
        <f t="shared" si="56"/>
        <v>Add-On</v>
      </c>
      <c r="T115" s="495" t="str">
        <f t="shared" si="56"/>
        <v>Add-On</v>
      </c>
      <c r="U115" s="486"/>
      <c r="V115" s="261">
        <f t="shared" si="55"/>
        <v>0</v>
      </c>
      <c r="W115" s="144"/>
      <c r="X115" s="145" t="s">
        <v>540</v>
      </c>
      <c r="Y115" s="99"/>
      <c r="Z115" s="419"/>
      <c r="AA115" s="644"/>
      <c r="AB115" s="546"/>
      <c r="AC115" s="99"/>
      <c r="AD115" s="99"/>
      <c r="AE115" s="99"/>
      <c r="AF115" s="99"/>
      <c r="AG115" s="99"/>
      <c r="AH115" s="100"/>
      <c r="AI115" s="100"/>
      <c r="AJ115" s="99"/>
      <c r="AK115" s="100"/>
      <c r="AL115" s="100"/>
      <c r="AM115" s="99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</row>
    <row r="116" spans="1:52" s="40" customFormat="1" ht="18" hidden="1" outlineLevel="1" x14ac:dyDescent="0.3">
      <c r="A116" s="96"/>
      <c r="B116" s="614"/>
      <c r="C116" s="142" t="s">
        <v>476</v>
      </c>
      <c r="D116" s="158"/>
      <c r="E116" s="158"/>
      <c r="F116" s="158"/>
      <c r="G116" s="158"/>
      <c r="H116" s="143" t="s">
        <v>543</v>
      </c>
      <c r="I116" s="495" t="s">
        <v>84</v>
      </c>
      <c r="J116" s="495" t="str">
        <f t="shared" si="56"/>
        <v>Add-On</v>
      </c>
      <c r="K116" s="495" t="str">
        <f t="shared" si="56"/>
        <v>Add-On</v>
      </c>
      <c r="L116" s="495" t="str">
        <f t="shared" si="56"/>
        <v>Add-On</v>
      </c>
      <c r="M116" s="495" t="str">
        <f t="shared" si="56"/>
        <v>Add-On</v>
      </c>
      <c r="N116" s="495" t="str">
        <f t="shared" si="56"/>
        <v>Add-On</v>
      </c>
      <c r="O116" s="495" t="str">
        <f t="shared" si="56"/>
        <v>Add-On</v>
      </c>
      <c r="P116" s="495" t="str">
        <f t="shared" si="56"/>
        <v>Add-On</v>
      </c>
      <c r="Q116" s="495" t="str">
        <f t="shared" si="56"/>
        <v>Add-On</v>
      </c>
      <c r="R116" s="495" t="str">
        <f t="shared" si="56"/>
        <v>Add-On</v>
      </c>
      <c r="S116" s="495" t="str">
        <f t="shared" si="56"/>
        <v>Add-On</v>
      </c>
      <c r="T116" s="495" t="str">
        <f t="shared" si="56"/>
        <v>Add-On</v>
      </c>
      <c r="U116" s="486"/>
      <c r="V116" s="261">
        <f t="shared" si="55"/>
        <v>0</v>
      </c>
      <c r="W116" s="144"/>
      <c r="X116" s="145" t="s">
        <v>540</v>
      </c>
      <c r="Y116" s="99"/>
      <c r="Z116" s="419" t="s">
        <v>2</v>
      </c>
      <c r="AA116" s="644">
        <f>D116</f>
        <v>0</v>
      </c>
      <c r="AB116" s="546" t="e">
        <f>V116/W116</f>
        <v>#DIV/0!</v>
      </c>
      <c r="AC116" s="99"/>
      <c r="AD116" s="99"/>
      <c r="AE116" s="99"/>
      <c r="AF116" s="99"/>
      <c r="AG116" s="99"/>
      <c r="AH116" s="100"/>
      <c r="AI116" s="100"/>
      <c r="AJ116" s="99"/>
      <c r="AK116" s="100"/>
      <c r="AL116" s="100"/>
      <c r="AM116" s="99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</row>
    <row r="117" spans="1:52" s="40" customFormat="1" ht="18" hidden="1" outlineLevel="1" x14ac:dyDescent="0.3">
      <c r="A117" s="96"/>
      <c r="B117" s="614"/>
      <c r="C117" s="142" t="s">
        <v>480</v>
      </c>
      <c r="D117" s="158"/>
      <c r="E117" s="158"/>
      <c r="F117" s="158"/>
      <c r="G117" s="158"/>
      <c r="H117" s="143" t="s">
        <v>543</v>
      </c>
      <c r="I117" s="495" t="s">
        <v>84</v>
      </c>
      <c r="J117" s="495" t="str">
        <f t="shared" ref="J117:T126" si="57">IF($B$106="x","enthalten","Add-On")</f>
        <v>Add-On</v>
      </c>
      <c r="K117" s="495" t="str">
        <f t="shared" si="57"/>
        <v>Add-On</v>
      </c>
      <c r="L117" s="495" t="str">
        <f t="shared" si="57"/>
        <v>Add-On</v>
      </c>
      <c r="M117" s="495" t="str">
        <f t="shared" si="57"/>
        <v>Add-On</v>
      </c>
      <c r="N117" s="495" t="str">
        <f t="shared" si="57"/>
        <v>Add-On</v>
      </c>
      <c r="O117" s="495" t="str">
        <f t="shared" si="57"/>
        <v>Add-On</v>
      </c>
      <c r="P117" s="495" t="str">
        <f t="shared" si="57"/>
        <v>Add-On</v>
      </c>
      <c r="Q117" s="495" t="str">
        <f t="shared" si="57"/>
        <v>Add-On</v>
      </c>
      <c r="R117" s="495" t="str">
        <f t="shared" si="57"/>
        <v>Add-On</v>
      </c>
      <c r="S117" s="495" t="str">
        <f t="shared" si="57"/>
        <v>Add-On</v>
      </c>
      <c r="T117" s="495" t="str">
        <f t="shared" si="57"/>
        <v>Add-On</v>
      </c>
      <c r="U117" s="486"/>
      <c r="V117" s="261">
        <f t="shared" si="55"/>
        <v>0</v>
      </c>
      <c r="W117" s="144"/>
      <c r="X117" s="145" t="s">
        <v>540</v>
      </c>
      <c r="Y117" s="99"/>
      <c r="Z117" s="419"/>
      <c r="AA117" s="644"/>
      <c r="AB117" s="546"/>
      <c r="AC117" s="99"/>
      <c r="AD117" s="99"/>
      <c r="AE117" s="99"/>
      <c r="AF117" s="99"/>
      <c r="AG117" s="99"/>
      <c r="AH117" s="100"/>
      <c r="AI117" s="100"/>
      <c r="AJ117" s="99"/>
      <c r="AK117" s="100"/>
      <c r="AL117" s="100"/>
      <c r="AM117" s="99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</row>
    <row r="118" spans="1:52" s="40" customFormat="1" ht="18" hidden="1" outlineLevel="1" x14ac:dyDescent="0.3">
      <c r="A118" s="96"/>
      <c r="B118" s="614"/>
      <c r="C118" s="142" t="s">
        <v>481</v>
      </c>
      <c r="D118" s="158"/>
      <c r="E118" s="158"/>
      <c r="F118" s="158"/>
      <c r="G118" s="158"/>
      <c r="H118" s="143" t="s">
        <v>543</v>
      </c>
      <c r="I118" s="495" t="s">
        <v>84</v>
      </c>
      <c r="J118" s="495" t="str">
        <f t="shared" si="57"/>
        <v>Add-On</v>
      </c>
      <c r="K118" s="495" t="str">
        <f t="shared" si="57"/>
        <v>Add-On</v>
      </c>
      <c r="L118" s="495" t="str">
        <f t="shared" si="57"/>
        <v>Add-On</v>
      </c>
      <c r="M118" s="495" t="str">
        <f t="shared" si="57"/>
        <v>Add-On</v>
      </c>
      <c r="N118" s="495" t="str">
        <f t="shared" si="57"/>
        <v>Add-On</v>
      </c>
      <c r="O118" s="495" t="str">
        <f t="shared" si="57"/>
        <v>Add-On</v>
      </c>
      <c r="P118" s="495" t="str">
        <f t="shared" si="57"/>
        <v>Add-On</v>
      </c>
      <c r="Q118" s="495" t="str">
        <f t="shared" si="57"/>
        <v>Add-On</v>
      </c>
      <c r="R118" s="495" t="str">
        <f t="shared" si="57"/>
        <v>Add-On</v>
      </c>
      <c r="S118" s="495" t="str">
        <f t="shared" si="57"/>
        <v>Add-On</v>
      </c>
      <c r="T118" s="495" t="str">
        <f t="shared" si="57"/>
        <v>Add-On</v>
      </c>
      <c r="U118" s="486"/>
      <c r="V118" s="261">
        <f t="shared" si="55"/>
        <v>0</v>
      </c>
      <c r="W118" s="144"/>
      <c r="X118" s="145" t="s">
        <v>540</v>
      </c>
      <c r="Y118" s="99"/>
      <c r="Z118" s="419" t="s">
        <v>2</v>
      </c>
      <c r="AA118" s="644">
        <f>D118</f>
        <v>0</v>
      </c>
      <c r="AB118" s="546" t="e">
        <f>V118/W118</f>
        <v>#DIV/0!</v>
      </c>
      <c r="AC118" s="99"/>
      <c r="AD118" s="99"/>
      <c r="AE118" s="99"/>
      <c r="AF118" s="99"/>
      <c r="AG118" s="99"/>
      <c r="AH118" s="100"/>
      <c r="AI118" s="100"/>
      <c r="AJ118" s="99"/>
      <c r="AK118" s="100"/>
      <c r="AL118" s="100"/>
      <c r="AM118" s="99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</row>
    <row r="119" spans="1:52" s="40" customFormat="1" ht="18" hidden="1" outlineLevel="1" x14ac:dyDescent="0.3">
      <c r="A119" s="96"/>
      <c r="B119" s="614"/>
      <c r="C119" s="142" t="s">
        <v>482</v>
      </c>
      <c r="D119" s="158"/>
      <c r="E119" s="158"/>
      <c r="F119" s="158"/>
      <c r="G119" s="158"/>
      <c r="H119" s="143" t="s">
        <v>543</v>
      </c>
      <c r="I119" s="495" t="s">
        <v>84</v>
      </c>
      <c r="J119" s="495" t="str">
        <f t="shared" si="57"/>
        <v>Add-On</v>
      </c>
      <c r="K119" s="495" t="str">
        <f t="shared" si="57"/>
        <v>Add-On</v>
      </c>
      <c r="L119" s="495" t="str">
        <f t="shared" si="57"/>
        <v>Add-On</v>
      </c>
      <c r="M119" s="495" t="str">
        <f t="shared" si="57"/>
        <v>Add-On</v>
      </c>
      <c r="N119" s="495" t="str">
        <f t="shared" si="57"/>
        <v>Add-On</v>
      </c>
      <c r="O119" s="495" t="str">
        <f t="shared" si="57"/>
        <v>Add-On</v>
      </c>
      <c r="P119" s="495" t="str">
        <f t="shared" si="57"/>
        <v>Add-On</v>
      </c>
      <c r="Q119" s="495" t="str">
        <f t="shared" si="57"/>
        <v>Add-On</v>
      </c>
      <c r="R119" s="495" t="str">
        <f t="shared" si="57"/>
        <v>Add-On</v>
      </c>
      <c r="S119" s="495" t="str">
        <f t="shared" si="57"/>
        <v>Add-On</v>
      </c>
      <c r="T119" s="495" t="str">
        <f t="shared" si="57"/>
        <v>Add-On</v>
      </c>
      <c r="U119" s="486"/>
      <c r="V119" s="261">
        <f t="shared" si="55"/>
        <v>0</v>
      </c>
      <c r="W119" s="144"/>
      <c r="X119" s="145" t="s">
        <v>540</v>
      </c>
      <c r="Y119" s="99"/>
      <c r="Z119" s="419" t="s">
        <v>2</v>
      </c>
      <c r="AA119" s="644">
        <f>D119</f>
        <v>0</v>
      </c>
      <c r="AB119" s="546" t="e">
        <f>V119/W119</f>
        <v>#DIV/0!</v>
      </c>
      <c r="AC119" s="99"/>
      <c r="AD119" s="99"/>
      <c r="AE119" s="99"/>
      <c r="AF119" s="99"/>
      <c r="AG119" s="99"/>
      <c r="AH119" s="100"/>
      <c r="AI119" s="100"/>
      <c r="AJ119" s="99"/>
      <c r="AK119" s="100"/>
      <c r="AL119" s="100"/>
      <c r="AM119" s="99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</row>
    <row r="120" spans="1:52" s="40" customFormat="1" ht="18" hidden="1" outlineLevel="1" x14ac:dyDescent="0.3">
      <c r="A120" s="96"/>
      <c r="B120" s="614"/>
      <c r="C120" s="142" t="s">
        <v>483</v>
      </c>
      <c r="D120" s="158"/>
      <c r="E120" s="158"/>
      <c r="F120" s="158"/>
      <c r="G120" s="158"/>
      <c r="H120" s="143" t="s">
        <v>543</v>
      </c>
      <c r="I120" s="495" t="s">
        <v>84</v>
      </c>
      <c r="J120" s="495" t="str">
        <f t="shared" si="57"/>
        <v>Add-On</v>
      </c>
      <c r="K120" s="495" t="str">
        <f t="shared" si="57"/>
        <v>Add-On</v>
      </c>
      <c r="L120" s="495" t="str">
        <f t="shared" si="57"/>
        <v>Add-On</v>
      </c>
      <c r="M120" s="495" t="str">
        <f t="shared" si="57"/>
        <v>Add-On</v>
      </c>
      <c r="N120" s="495" t="str">
        <f t="shared" si="57"/>
        <v>Add-On</v>
      </c>
      <c r="O120" s="495" t="str">
        <f t="shared" si="57"/>
        <v>Add-On</v>
      </c>
      <c r="P120" s="495" t="str">
        <f t="shared" si="57"/>
        <v>Add-On</v>
      </c>
      <c r="Q120" s="495" t="str">
        <f t="shared" si="57"/>
        <v>Add-On</v>
      </c>
      <c r="R120" s="495" t="str">
        <f t="shared" si="57"/>
        <v>Add-On</v>
      </c>
      <c r="S120" s="495" t="str">
        <f t="shared" si="57"/>
        <v>Add-On</v>
      </c>
      <c r="T120" s="495" t="str">
        <f t="shared" si="57"/>
        <v>Add-On</v>
      </c>
      <c r="U120" s="486"/>
      <c r="V120" s="261">
        <f t="shared" si="55"/>
        <v>0</v>
      </c>
      <c r="W120" s="144"/>
      <c r="X120" s="145" t="s">
        <v>540</v>
      </c>
      <c r="Y120" s="99"/>
      <c r="Z120" s="419" t="s">
        <v>2</v>
      </c>
      <c r="AA120" s="644">
        <f>D120</f>
        <v>0</v>
      </c>
      <c r="AB120" s="546" t="e">
        <f>V120/W120</f>
        <v>#DIV/0!</v>
      </c>
      <c r="AC120" s="99"/>
      <c r="AD120" s="99"/>
      <c r="AE120" s="99"/>
      <c r="AF120" s="99"/>
      <c r="AG120" s="99"/>
      <c r="AH120" s="100"/>
      <c r="AI120" s="100"/>
      <c r="AJ120" s="99"/>
      <c r="AK120" s="100"/>
      <c r="AL120" s="100"/>
      <c r="AM120" s="99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</row>
    <row r="121" spans="1:52" s="40" customFormat="1" ht="18" hidden="1" outlineLevel="1" x14ac:dyDescent="0.3">
      <c r="A121" s="96"/>
      <c r="B121" s="614"/>
      <c r="C121" s="142" t="s">
        <v>484</v>
      </c>
      <c r="D121" s="158"/>
      <c r="E121" s="158"/>
      <c r="F121" s="158"/>
      <c r="G121" s="158"/>
      <c r="H121" s="143" t="s">
        <v>543</v>
      </c>
      <c r="I121" s="495" t="s">
        <v>84</v>
      </c>
      <c r="J121" s="495" t="str">
        <f t="shared" si="57"/>
        <v>Add-On</v>
      </c>
      <c r="K121" s="495" t="str">
        <f t="shared" si="57"/>
        <v>Add-On</v>
      </c>
      <c r="L121" s="495" t="str">
        <f t="shared" si="57"/>
        <v>Add-On</v>
      </c>
      <c r="M121" s="495" t="str">
        <f t="shared" si="57"/>
        <v>Add-On</v>
      </c>
      <c r="N121" s="495" t="str">
        <f t="shared" si="57"/>
        <v>Add-On</v>
      </c>
      <c r="O121" s="495" t="str">
        <f t="shared" si="57"/>
        <v>Add-On</v>
      </c>
      <c r="P121" s="495" t="str">
        <f t="shared" si="57"/>
        <v>Add-On</v>
      </c>
      <c r="Q121" s="495" t="str">
        <f t="shared" si="57"/>
        <v>Add-On</v>
      </c>
      <c r="R121" s="495" t="str">
        <f t="shared" si="57"/>
        <v>Add-On</v>
      </c>
      <c r="S121" s="495" t="str">
        <f t="shared" si="57"/>
        <v>Add-On</v>
      </c>
      <c r="T121" s="495" t="str">
        <f t="shared" si="57"/>
        <v>Add-On</v>
      </c>
      <c r="U121" s="486"/>
      <c r="V121" s="261">
        <f t="shared" si="55"/>
        <v>0</v>
      </c>
      <c r="W121" s="144"/>
      <c r="X121" s="145" t="s">
        <v>540</v>
      </c>
      <c r="Y121" s="99"/>
      <c r="Z121" s="419"/>
      <c r="AA121" s="644"/>
      <c r="AB121" s="546"/>
      <c r="AC121" s="99"/>
      <c r="AD121" s="99"/>
      <c r="AE121" s="99"/>
      <c r="AF121" s="99"/>
      <c r="AG121" s="99"/>
      <c r="AH121" s="100"/>
      <c r="AI121" s="100"/>
      <c r="AJ121" s="99"/>
      <c r="AK121" s="100"/>
      <c r="AL121" s="100"/>
      <c r="AM121" s="99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</row>
    <row r="122" spans="1:52" s="40" customFormat="1" ht="18" hidden="1" outlineLevel="1" x14ac:dyDescent="0.3">
      <c r="A122" s="96"/>
      <c r="B122" s="614"/>
      <c r="C122" s="142" t="s">
        <v>497</v>
      </c>
      <c r="D122" s="158"/>
      <c r="E122" s="158"/>
      <c r="F122" s="158"/>
      <c r="G122" s="158"/>
      <c r="H122" s="143" t="s">
        <v>543</v>
      </c>
      <c r="I122" s="495" t="s">
        <v>84</v>
      </c>
      <c r="J122" s="495" t="str">
        <f t="shared" si="57"/>
        <v>Add-On</v>
      </c>
      <c r="K122" s="495" t="str">
        <f t="shared" si="57"/>
        <v>Add-On</v>
      </c>
      <c r="L122" s="495" t="str">
        <f t="shared" si="57"/>
        <v>Add-On</v>
      </c>
      <c r="M122" s="495" t="str">
        <f t="shared" si="57"/>
        <v>Add-On</v>
      </c>
      <c r="N122" s="495" t="str">
        <f t="shared" si="57"/>
        <v>Add-On</v>
      </c>
      <c r="O122" s="495" t="str">
        <f t="shared" si="57"/>
        <v>Add-On</v>
      </c>
      <c r="P122" s="495" t="str">
        <f t="shared" si="57"/>
        <v>Add-On</v>
      </c>
      <c r="Q122" s="495" t="str">
        <f t="shared" si="57"/>
        <v>Add-On</v>
      </c>
      <c r="R122" s="495" t="str">
        <f t="shared" si="57"/>
        <v>Add-On</v>
      </c>
      <c r="S122" s="495" t="str">
        <f t="shared" si="57"/>
        <v>Add-On</v>
      </c>
      <c r="T122" s="495" t="str">
        <f t="shared" si="57"/>
        <v>Add-On</v>
      </c>
      <c r="U122" s="486"/>
      <c r="V122" s="261">
        <f t="shared" si="55"/>
        <v>0</v>
      </c>
      <c r="W122" s="144"/>
      <c r="X122" s="145" t="s">
        <v>540</v>
      </c>
      <c r="Y122" s="99"/>
      <c r="Z122" s="419" t="s">
        <v>2</v>
      </c>
      <c r="AA122" s="644">
        <f>D122</f>
        <v>0</v>
      </c>
      <c r="AB122" s="546" t="e">
        <f>V122/W122</f>
        <v>#DIV/0!</v>
      </c>
      <c r="AC122" s="99"/>
      <c r="AD122" s="99"/>
      <c r="AE122" s="99"/>
      <c r="AF122" s="99"/>
      <c r="AG122" s="99"/>
      <c r="AH122" s="100"/>
      <c r="AI122" s="100"/>
      <c r="AJ122" s="99"/>
      <c r="AK122" s="100"/>
      <c r="AL122" s="100"/>
      <c r="AM122" s="99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</row>
    <row r="123" spans="1:52" s="40" customFormat="1" ht="18" hidden="1" outlineLevel="1" x14ac:dyDescent="0.3">
      <c r="A123" s="96"/>
      <c r="B123" s="614"/>
      <c r="C123" s="142" t="s">
        <v>498</v>
      </c>
      <c r="D123" s="158"/>
      <c r="E123" s="158"/>
      <c r="F123" s="158"/>
      <c r="G123" s="158"/>
      <c r="H123" s="143" t="s">
        <v>543</v>
      </c>
      <c r="I123" s="495" t="s">
        <v>84</v>
      </c>
      <c r="J123" s="495" t="str">
        <f t="shared" si="57"/>
        <v>Add-On</v>
      </c>
      <c r="K123" s="495" t="str">
        <f t="shared" si="57"/>
        <v>Add-On</v>
      </c>
      <c r="L123" s="495" t="str">
        <f t="shared" si="57"/>
        <v>Add-On</v>
      </c>
      <c r="M123" s="495" t="str">
        <f t="shared" si="57"/>
        <v>Add-On</v>
      </c>
      <c r="N123" s="495" t="str">
        <f t="shared" si="57"/>
        <v>Add-On</v>
      </c>
      <c r="O123" s="495" t="str">
        <f t="shared" si="57"/>
        <v>Add-On</v>
      </c>
      <c r="P123" s="495" t="str">
        <f t="shared" si="57"/>
        <v>Add-On</v>
      </c>
      <c r="Q123" s="495" t="str">
        <f t="shared" si="57"/>
        <v>Add-On</v>
      </c>
      <c r="R123" s="495" t="str">
        <f t="shared" si="57"/>
        <v>Add-On</v>
      </c>
      <c r="S123" s="495" t="str">
        <f t="shared" si="57"/>
        <v>Add-On</v>
      </c>
      <c r="T123" s="495" t="str">
        <f t="shared" si="57"/>
        <v>Add-On</v>
      </c>
      <c r="U123" s="486"/>
      <c r="V123" s="261">
        <f t="shared" si="55"/>
        <v>0</v>
      </c>
      <c r="W123" s="144"/>
      <c r="X123" s="145" t="s">
        <v>540</v>
      </c>
      <c r="Y123" s="99"/>
      <c r="Z123" s="419"/>
      <c r="AA123" s="644"/>
      <c r="AB123" s="546"/>
      <c r="AC123" s="99"/>
      <c r="AD123" s="99"/>
      <c r="AE123" s="99"/>
      <c r="AF123" s="99"/>
      <c r="AG123" s="99"/>
      <c r="AH123" s="100"/>
      <c r="AI123" s="100"/>
      <c r="AJ123" s="99"/>
      <c r="AK123" s="100"/>
      <c r="AL123" s="100"/>
      <c r="AM123" s="99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</row>
    <row r="124" spans="1:52" s="40" customFormat="1" ht="18" hidden="1" outlineLevel="1" x14ac:dyDescent="0.3">
      <c r="A124" s="96"/>
      <c r="B124" s="614"/>
      <c r="C124" s="142" t="s">
        <v>485</v>
      </c>
      <c r="D124" s="158"/>
      <c r="E124" s="158"/>
      <c r="F124" s="158"/>
      <c r="G124" s="158"/>
      <c r="H124" s="143" t="s">
        <v>543</v>
      </c>
      <c r="I124" s="495" t="s">
        <v>84</v>
      </c>
      <c r="J124" s="495" t="str">
        <f t="shared" si="57"/>
        <v>Add-On</v>
      </c>
      <c r="K124" s="495" t="str">
        <f t="shared" si="57"/>
        <v>Add-On</v>
      </c>
      <c r="L124" s="495" t="str">
        <f t="shared" si="57"/>
        <v>Add-On</v>
      </c>
      <c r="M124" s="495" t="str">
        <f t="shared" si="57"/>
        <v>Add-On</v>
      </c>
      <c r="N124" s="495" t="str">
        <f t="shared" si="57"/>
        <v>Add-On</v>
      </c>
      <c r="O124" s="495" t="str">
        <f t="shared" si="57"/>
        <v>Add-On</v>
      </c>
      <c r="P124" s="495" t="str">
        <f t="shared" si="57"/>
        <v>Add-On</v>
      </c>
      <c r="Q124" s="495" t="str">
        <f t="shared" si="57"/>
        <v>Add-On</v>
      </c>
      <c r="R124" s="495" t="str">
        <f t="shared" si="57"/>
        <v>Add-On</v>
      </c>
      <c r="S124" s="495" t="str">
        <f t="shared" si="57"/>
        <v>Add-On</v>
      </c>
      <c r="T124" s="495" t="str">
        <f t="shared" si="57"/>
        <v>Add-On</v>
      </c>
      <c r="U124" s="486"/>
      <c r="V124" s="261">
        <f t="shared" si="55"/>
        <v>0</v>
      </c>
      <c r="W124" s="144"/>
      <c r="X124" s="145" t="s">
        <v>540</v>
      </c>
      <c r="Y124" s="99"/>
      <c r="Z124" s="419"/>
      <c r="AA124" s="644"/>
      <c r="AB124" s="546"/>
      <c r="AC124" s="99"/>
      <c r="AD124" s="99"/>
      <c r="AE124" s="99"/>
      <c r="AF124" s="99"/>
      <c r="AG124" s="99"/>
      <c r="AH124" s="100"/>
      <c r="AI124" s="100"/>
      <c r="AJ124" s="99"/>
      <c r="AK124" s="100"/>
      <c r="AL124" s="100"/>
      <c r="AM124" s="99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</row>
    <row r="125" spans="1:52" s="40" customFormat="1" ht="18" hidden="1" outlineLevel="1" x14ac:dyDescent="0.3">
      <c r="A125" s="96"/>
      <c r="B125" s="614"/>
      <c r="C125" s="142" t="s">
        <v>499</v>
      </c>
      <c r="D125" s="158"/>
      <c r="E125" s="158"/>
      <c r="F125" s="158"/>
      <c r="G125" s="158"/>
      <c r="H125" s="143" t="s">
        <v>543</v>
      </c>
      <c r="I125" s="495" t="s">
        <v>84</v>
      </c>
      <c r="J125" s="495" t="str">
        <f t="shared" si="57"/>
        <v>Add-On</v>
      </c>
      <c r="K125" s="495" t="str">
        <f t="shared" si="57"/>
        <v>Add-On</v>
      </c>
      <c r="L125" s="495" t="str">
        <f t="shared" si="57"/>
        <v>Add-On</v>
      </c>
      <c r="M125" s="495" t="str">
        <f t="shared" si="57"/>
        <v>Add-On</v>
      </c>
      <c r="N125" s="495" t="str">
        <f t="shared" si="57"/>
        <v>Add-On</v>
      </c>
      <c r="O125" s="495" t="str">
        <f t="shared" si="57"/>
        <v>Add-On</v>
      </c>
      <c r="P125" s="495" t="str">
        <f t="shared" si="57"/>
        <v>Add-On</v>
      </c>
      <c r="Q125" s="495" t="str">
        <f t="shared" si="57"/>
        <v>Add-On</v>
      </c>
      <c r="R125" s="495" t="str">
        <f t="shared" si="57"/>
        <v>Add-On</v>
      </c>
      <c r="S125" s="495" t="str">
        <f t="shared" si="57"/>
        <v>Add-On</v>
      </c>
      <c r="T125" s="495" t="str">
        <f t="shared" si="57"/>
        <v>Add-On</v>
      </c>
      <c r="U125" s="486"/>
      <c r="V125" s="261">
        <f t="shared" si="55"/>
        <v>0</v>
      </c>
      <c r="W125" s="144"/>
      <c r="X125" s="145" t="s">
        <v>540</v>
      </c>
      <c r="Y125" s="99"/>
      <c r="Z125" s="419"/>
      <c r="AA125" s="644"/>
      <c r="AB125" s="546"/>
      <c r="AC125" s="99"/>
      <c r="AD125" s="99"/>
      <c r="AE125" s="99"/>
      <c r="AF125" s="99"/>
      <c r="AG125" s="99"/>
      <c r="AH125" s="100"/>
      <c r="AI125" s="100"/>
      <c r="AJ125" s="99"/>
      <c r="AK125" s="100"/>
      <c r="AL125" s="100"/>
      <c r="AM125" s="99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</row>
    <row r="126" spans="1:52" s="40" customFormat="1" ht="18" hidden="1" outlineLevel="1" x14ac:dyDescent="0.3">
      <c r="A126" s="96"/>
      <c r="B126" s="614"/>
      <c r="C126" s="142" t="s">
        <v>486</v>
      </c>
      <c r="D126" s="158"/>
      <c r="E126" s="158"/>
      <c r="F126" s="158"/>
      <c r="G126" s="158"/>
      <c r="H126" s="143" t="s">
        <v>543</v>
      </c>
      <c r="I126" s="495" t="s">
        <v>84</v>
      </c>
      <c r="J126" s="495" t="str">
        <f t="shared" si="57"/>
        <v>Add-On</v>
      </c>
      <c r="K126" s="495" t="str">
        <f t="shared" si="57"/>
        <v>Add-On</v>
      </c>
      <c r="L126" s="495" t="str">
        <f t="shared" si="57"/>
        <v>Add-On</v>
      </c>
      <c r="M126" s="495" t="str">
        <f t="shared" si="57"/>
        <v>Add-On</v>
      </c>
      <c r="N126" s="495" t="str">
        <f t="shared" si="57"/>
        <v>Add-On</v>
      </c>
      <c r="O126" s="495" t="str">
        <f t="shared" si="57"/>
        <v>Add-On</v>
      </c>
      <c r="P126" s="495" t="str">
        <f t="shared" si="57"/>
        <v>Add-On</v>
      </c>
      <c r="Q126" s="495" t="str">
        <f t="shared" si="57"/>
        <v>Add-On</v>
      </c>
      <c r="R126" s="495" t="str">
        <f t="shared" si="57"/>
        <v>Add-On</v>
      </c>
      <c r="S126" s="495" t="str">
        <f t="shared" si="57"/>
        <v>Add-On</v>
      </c>
      <c r="T126" s="495" t="str">
        <f t="shared" si="57"/>
        <v>Add-On</v>
      </c>
      <c r="U126" s="486"/>
      <c r="V126" s="261">
        <f t="shared" si="55"/>
        <v>0</v>
      </c>
      <c r="W126" s="144"/>
      <c r="X126" s="145" t="s">
        <v>540</v>
      </c>
      <c r="Y126" s="99"/>
      <c r="Z126" s="419" t="s">
        <v>2</v>
      </c>
      <c r="AA126" s="644">
        <f>D126</f>
        <v>0</v>
      </c>
      <c r="AB126" s="546" t="e">
        <f>V126/W126</f>
        <v>#DIV/0!</v>
      </c>
      <c r="AC126" s="99"/>
      <c r="AD126" s="99"/>
      <c r="AE126" s="99"/>
      <c r="AF126" s="99"/>
      <c r="AG126" s="99"/>
      <c r="AH126" s="100"/>
      <c r="AI126" s="100"/>
      <c r="AJ126" s="99"/>
      <c r="AK126" s="100"/>
      <c r="AL126" s="100"/>
      <c r="AM126" s="99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</row>
    <row r="127" spans="1:52" s="40" customFormat="1" ht="18" hidden="1" outlineLevel="1" x14ac:dyDescent="0.3">
      <c r="A127" s="96"/>
      <c r="B127" s="614"/>
      <c r="C127" s="142" t="s">
        <v>487</v>
      </c>
      <c r="D127" s="158"/>
      <c r="E127" s="158"/>
      <c r="F127" s="158"/>
      <c r="G127" s="158"/>
      <c r="H127" s="143" t="s">
        <v>543</v>
      </c>
      <c r="I127" s="495" t="s">
        <v>84</v>
      </c>
      <c r="J127" s="495" t="str">
        <f t="shared" ref="J127:T136" si="58">IF($B$106="x","enthalten","Add-On")</f>
        <v>Add-On</v>
      </c>
      <c r="K127" s="495" t="str">
        <f t="shared" si="58"/>
        <v>Add-On</v>
      </c>
      <c r="L127" s="495" t="str">
        <f t="shared" si="58"/>
        <v>Add-On</v>
      </c>
      <c r="M127" s="495" t="str">
        <f t="shared" si="58"/>
        <v>Add-On</v>
      </c>
      <c r="N127" s="495" t="str">
        <f t="shared" si="58"/>
        <v>Add-On</v>
      </c>
      <c r="O127" s="495" t="str">
        <f t="shared" si="58"/>
        <v>Add-On</v>
      </c>
      <c r="P127" s="495" t="str">
        <f t="shared" si="58"/>
        <v>Add-On</v>
      </c>
      <c r="Q127" s="495" t="str">
        <f t="shared" si="58"/>
        <v>Add-On</v>
      </c>
      <c r="R127" s="495" t="str">
        <f t="shared" si="58"/>
        <v>Add-On</v>
      </c>
      <c r="S127" s="495" t="str">
        <f t="shared" si="58"/>
        <v>Add-On</v>
      </c>
      <c r="T127" s="495" t="str">
        <f t="shared" si="58"/>
        <v>Add-On</v>
      </c>
      <c r="U127" s="486"/>
      <c r="V127" s="261">
        <f t="shared" si="55"/>
        <v>0</v>
      </c>
      <c r="W127" s="144"/>
      <c r="X127" s="145" t="s">
        <v>540</v>
      </c>
      <c r="Y127" s="99"/>
      <c r="Z127" s="419" t="s">
        <v>2</v>
      </c>
      <c r="AA127" s="644">
        <f>D127</f>
        <v>0</v>
      </c>
      <c r="AB127" s="546" t="e">
        <f>V127/W127</f>
        <v>#DIV/0!</v>
      </c>
      <c r="AC127" s="99"/>
      <c r="AD127" s="99"/>
      <c r="AE127" s="99"/>
      <c r="AF127" s="99"/>
      <c r="AG127" s="99"/>
      <c r="AH127" s="100"/>
      <c r="AI127" s="100"/>
      <c r="AJ127" s="99"/>
      <c r="AK127" s="100"/>
      <c r="AL127" s="100"/>
      <c r="AM127" s="99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</row>
    <row r="128" spans="1:52" s="40" customFormat="1" ht="18" hidden="1" outlineLevel="1" x14ac:dyDescent="0.3">
      <c r="A128" s="96"/>
      <c r="B128" s="614"/>
      <c r="C128" s="142" t="s">
        <v>488</v>
      </c>
      <c r="D128" s="158"/>
      <c r="E128" s="158"/>
      <c r="F128" s="158"/>
      <c r="G128" s="158"/>
      <c r="H128" s="143" t="s">
        <v>543</v>
      </c>
      <c r="I128" s="495" t="s">
        <v>84</v>
      </c>
      <c r="J128" s="495" t="str">
        <f t="shared" si="58"/>
        <v>Add-On</v>
      </c>
      <c r="K128" s="495" t="str">
        <f t="shared" si="58"/>
        <v>Add-On</v>
      </c>
      <c r="L128" s="495" t="str">
        <f t="shared" si="58"/>
        <v>Add-On</v>
      </c>
      <c r="M128" s="495" t="str">
        <f t="shared" si="58"/>
        <v>Add-On</v>
      </c>
      <c r="N128" s="495" t="str">
        <f t="shared" si="58"/>
        <v>Add-On</v>
      </c>
      <c r="O128" s="495" t="str">
        <f t="shared" si="58"/>
        <v>Add-On</v>
      </c>
      <c r="P128" s="495" t="str">
        <f t="shared" si="58"/>
        <v>Add-On</v>
      </c>
      <c r="Q128" s="495" t="str">
        <f t="shared" si="58"/>
        <v>Add-On</v>
      </c>
      <c r="R128" s="495" t="str">
        <f t="shared" si="58"/>
        <v>Add-On</v>
      </c>
      <c r="S128" s="495" t="str">
        <f t="shared" si="58"/>
        <v>Add-On</v>
      </c>
      <c r="T128" s="495" t="str">
        <f t="shared" si="58"/>
        <v>Add-On</v>
      </c>
      <c r="U128" s="486"/>
      <c r="V128" s="261">
        <f t="shared" si="55"/>
        <v>0</v>
      </c>
      <c r="W128" s="144"/>
      <c r="X128" s="145" t="s">
        <v>540</v>
      </c>
      <c r="Y128" s="99"/>
      <c r="Z128" s="419"/>
      <c r="AA128" s="644"/>
      <c r="AB128" s="546"/>
      <c r="AC128" s="99"/>
      <c r="AD128" s="99"/>
      <c r="AE128" s="99"/>
      <c r="AF128" s="99"/>
      <c r="AG128" s="99"/>
      <c r="AH128" s="100"/>
      <c r="AI128" s="100"/>
      <c r="AJ128" s="99"/>
      <c r="AK128" s="100"/>
      <c r="AL128" s="100"/>
      <c r="AM128" s="99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</row>
    <row r="129" spans="1:52" s="40" customFormat="1" ht="18" hidden="1" outlineLevel="1" x14ac:dyDescent="0.3">
      <c r="A129" s="96"/>
      <c r="B129" s="614"/>
      <c r="C129" s="142" t="s">
        <v>500</v>
      </c>
      <c r="D129" s="158"/>
      <c r="E129" s="158"/>
      <c r="F129" s="158"/>
      <c r="G129" s="158"/>
      <c r="H129" s="143" t="s">
        <v>543</v>
      </c>
      <c r="I129" s="495" t="s">
        <v>84</v>
      </c>
      <c r="J129" s="495" t="str">
        <f t="shared" si="58"/>
        <v>Add-On</v>
      </c>
      <c r="K129" s="495" t="str">
        <f t="shared" si="58"/>
        <v>Add-On</v>
      </c>
      <c r="L129" s="495" t="str">
        <f t="shared" si="58"/>
        <v>Add-On</v>
      </c>
      <c r="M129" s="495" t="str">
        <f t="shared" si="58"/>
        <v>Add-On</v>
      </c>
      <c r="N129" s="495" t="str">
        <f t="shared" si="58"/>
        <v>Add-On</v>
      </c>
      <c r="O129" s="495" t="str">
        <f t="shared" si="58"/>
        <v>Add-On</v>
      </c>
      <c r="P129" s="495" t="str">
        <f t="shared" si="58"/>
        <v>Add-On</v>
      </c>
      <c r="Q129" s="495" t="str">
        <f t="shared" si="58"/>
        <v>Add-On</v>
      </c>
      <c r="R129" s="495" t="str">
        <f t="shared" si="58"/>
        <v>Add-On</v>
      </c>
      <c r="S129" s="495" t="str">
        <f t="shared" si="58"/>
        <v>Add-On</v>
      </c>
      <c r="T129" s="495" t="str">
        <f t="shared" si="58"/>
        <v>Add-On</v>
      </c>
      <c r="U129" s="486"/>
      <c r="V129" s="261">
        <f t="shared" si="55"/>
        <v>0</v>
      </c>
      <c r="W129" s="144"/>
      <c r="X129" s="145" t="s">
        <v>540</v>
      </c>
      <c r="Y129" s="99"/>
      <c r="Z129" s="419" t="s">
        <v>2</v>
      </c>
      <c r="AA129" s="644">
        <f>D129</f>
        <v>0</v>
      </c>
      <c r="AB129" s="546" t="e">
        <f>V129/W129</f>
        <v>#DIV/0!</v>
      </c>
      <c r="AC129" s="99"/>
      <c r="AD129" s="99"/>
      <c r="AE129" s="99"/>
      <c r="AF129" s="99"/>
      <c r="AG129" s="99"/>
      <c r="AH129" s="100"/>
      <c r="AI129" s="100"/>
      <c r="AJ129" s="99"/>
      <c r="AK129" s="100"/>
      <c r="AL129" s="100"/>
      <c r="AM129" s="99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</row>
    <row r="130" spans="1:52" s="40" customFormat="1" ht="18" hidden="1" outlineLevel="1" x14ac:dyDescent="0.3">
      <c r="A130" s="96"/>
      <c r="B130" s="614"/>
      <c r="C130" s="142" t="s">
        <v>501</v>
      </c>
      <c r="D130" s="158"/>
      <c r="E130" s="158"/>
      <c r="F130" s="158"/>
      <c r="G130" s="158"/>
      <c r="H130" s="143" t="s">
        <v>543</v>
      </c>
      <c r="I130" s="495" t="s">
        <v>84</v>
      </c>
      <c r="J130" s="495" t="str">
        <f t="shared" si="58"/>
        <v>Add-On</v>
      </c>
      <c r="K130" s="495" t="str">
        <f t="shared" si="58"/>
        <v>Add-On</v>
      </c>
      <c r="L130" s="495" t="str">
        <f t="shared" si="58"/>
        <v>Add-On</v>
      </c>
      <c r="M130" s="495" t="str">
        <f t="shared" si="58"/>
        <v>Add-On</v>
      </c>
      <c r="N130" s="495" t="str">
        <f t="shared" si="58"/>
        <v>Add-On</v>
      </c>
      <c r="O130" s="495" t="str">
        <f t="shared" si="58"/>
        <v>Add-On</v>
      </c>
      <c r="P130" s="495" t="str">
        <f t="shared" si="58"/>
        <v>Add-On</v>
      </c>
      <c r="Q130" s="495" t="str">
        <f t="shared" si="58"/>
        <v>Add-On</v>
      </c>
      <c r="R130" s="495" t="str">
        <f t="shared" si="58"/>
        <v>Add-On</v>
      </c>
      <c r="S130" s="495" t="str">
        <f t="shared" si="58"/>
        <v>Add-On</v>
      </c>
      <c r="T130" s="495" t="str">
        <f t="shared" si="58"/>
        <v>Add-On</v>
      </c>
      <c r="U130" s="486"/>
      <c r="V130" s="261">
        <f t="shared" si="55"/>
        <v>0</v>
      </c>
      <c r="W130" s="144"/>
      <c r="X130" s="145" t="s">
        <v>540</v>
      </c>
      <c r="Y130" s="99"/>
      <c r="Z130" s="419" t="s">
        <v>2</v>
      </c>
      <c r="AA130" s="644">
        <f>D130</f>
        <v>0</v>
      </c>
      <c r="AB130" s="546" t="e">
        <f>V130/W130</f>
        <v>#DIV/0!</v>
      </c>
      <c r="AC130" s="99"/>
      <c r="AD130" s="99"/>
      <c r="AE130" s="99"/>
      <c r="AF130" s="99"/>
      <c r="AG130" s="99"/>
      <c r="AH130" s="100"/>
      <c r="AI130" s="100"/>
      <c r="AJ130" s="99"/>
      <c r="AK130" s="100"/>
      <c r="AL130" s="100"/>
      <c r="AM130" s="99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</row>
    <row r="131" spans="1:52" s="40" customFormat="1" ht="18" hidden="1" outlineLevel="1" x14ac:dyDescent="0.3">
      <c r="A131" s="96"/>
      <c r="B131" s="614"/>
      <c r="C131" s="142" t="s">
        <v>489</v>
      </c>
      <c r="D131" s="158"/>
      <c r="E131" s="158"/>
      <c r="F131" s="158"/>
      <c r="G131" s="158"/>
      <c r="H131" s="143" t="s">
        <v>543</v>
      </c>
      <c r="I131" s="495" t="s">
        <v>84</v>
      </c>
      <c r="J131" s="495" t="str">
        <f t="shared" si="58"/>
        <v>Add-On</v>
      </c>
      <c r="K131" s="495" t="str">
        <f t="shared" si="58"/>
        <v>Add-On</v>
      </c>
      <c r="L131" s="495" t="str">
        <f t="shared" si="58"/>
        <v>Add-On</v>
      </c>
      <c r="M131" s="495" t="str">
        <f t="shared" si="58"/>
        <v>Add-On</v>
      </c>
      <c r="N131" s="495" t="str">
        <f t="shared" si="58"/>
        <v>Add-On</v>
      </c>
      <c r="O131" s="495" t="str">
        <f t="shared" si="58"/>
        <v>Add-On</v>
      </c>
      <c r="P131" s="495" t="str">
        <f t="shared" si="58"/>
        <v>Add-On</v>
      </c>
      <c r="Q131" s="495" t="str">
        <f t="shared" si="58"/>
        <v>Add-On</v>
      </c>
      <c r="R131" s="495" t="str">
        <f t="shared" si="58"/>
        <v>Add-On</v>
      </c>
      <c r="S131" s="495" t="str">
        <f t="shared" si="58"/>
        <v>Add-On</v>
      </c>
      <c r="T131" s="495" t="str">
        <f t="shared" si="58"/>
        <v>Add-On</v>
      </c>
      <c r="U131" s="486"/>
      <c r="V131" s="261">
        <f t="shared" si="55"/>
        <v>0</v>
      </c>
      <c r="W131" s="144"/>
      <c r="X131" s="145" t="s">
        <v>540</v>
      </c>
      <c r="Y131" s="99"/>
      <c r="Z131" s="419"/>
      <c r="AA131" s="644"/>
      <c r="AB131" s="546"/>
      <c r="AC131" s="99"/>
      <c r="AD131" s="99"/>
      <c r="AE131" s="99"/>
      <c r="AF131" s="99"/>
      <c r="AG131" s="99"/>
      <c r="AH131" s="100"/>
      <c r="AI131" s="100"/>
      <c r="AJ131" s="99"/>
      <c r="AK131" s="100"/>
      <c r="AL131" s="100"/>
      <c r="AM131" s="99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</row>
    <row r="132" spans="1:52" s="40" customFormat="1" ht="18" hidden="1" outlineLevel="1" x14ac:dyDescent="0.3">
      <c r="A132" s="96"/>
      <c r="B132" s="614"/>
      <c r="C132" s="142" t="s">
        <v>502</v>
      </c>
      <c r="D132" s="158"/>
      <c r="E132" s="158"/>
      <c r="F132" s="158"/>
      <c r="G132" s="158"/>
      <c r="H132" s="143" t="s">
        <v>543</v>
      </c>
      <c r="I132" s="495" t="s">
        <v>84</v>
      </c>
      <c r="J132" s="495" t="str">
        <f t="shared" si="58"/>
        <v>Add-On</v>
      </c>
      <c r="K132" s="495" t="str">
        <f t="shared" si="58"/>
        <v>Add-On</v>
      </c>
      <c r="L132" s="495" t="str">
        <f t="shared" si="58"/>
        <v>Add-On</v>
      </c>
      <c r="M132" s="495" t="str">
        <f t="shared" si="58"/>
        <v>Add-On</v>
      </c>
      <c r="N132" s="495" t="str">
        <f t="shared" si="58"/>
        <v>Add-On</v>
      </c>
      <c r="O132" s="495" t="str">
        <f t="shared" si="58"/>
        <v>Add-On</v>
      </c>
      <c r="P132" s="495" t="str">
        <f t="shared" si="58"/>
        <v>Add-On</v>
      </c>
      <c r="Q132" s="495" t="str">
        <f t="shared" si="58"/>
        <v>Add-On</v>
      </c>
      <c r="R132" s="495" t="str">
        <f t="shared" si="58"/>
        <v>Add-On</v>
      </c>
      <c r="S132" s="495" t="str">
        <f t="shared" si="58"/>
        <v>Add-On</v>
      </c>
      <c r="T132" s="495" t="str">
        <f t="shared" si="58"/>
        <v>Add-On</v>
      </c>
      <c r="U132" s="486"/>
      <c r="V132" s="261">
        <f t="shared" si="55"/>
        <v>0</v>
      </c>
      <c r="W132" s="144"/>
      <c r="X132" s="145" t="s">
        <v>540</v>
      </c>
      <c r="Y132" s="99"/>
      <c r="Z132" s="419" t="s">
        <v>2</v>
      </c>
      <c r="AA132" s="644">
        <f>D132</f>
        <v>0</v>
      </c>
      <c r="AB132" s="546" t="e">
        <f>V132/W132</f>
        <v>#DIV/0!</v>
      </c>
      <c r="AC132" s="99"/>
      <c r="AD132" s="99"/>
      <c r="AE132" s="99"/>
      <c r="AF132" s="99"/>
      <c r="AG132" s="99"/>
      <c r="AH132" s="100"/>
      <c r="AI132" s="100"/>
      <c r="AJ132" s="99"/>
      <c r="AK132" s="100"/>
      <c r="AL132" s="100"/>
      <c r="AM132" s="99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</row>
    <row r="133" spans="1:52" s="40" customFormat="1" ht="18" hidden="1" outlineLevel="1" x14ac:dyDescent="0.3">
      <c r="A133" s="96"/>
      <c r="B133" s="614"/>
      <c r="C133" s="142" t="s">
        <v>503</v>
      </c>
      <c r="D133" s="158"/>
      <c r="E133" s="158"/>
      <c r="F133" s="158"/>
      <c r="G133" s="158"/>
      <c r="H133" s="143" t="s">
        <v>543</v>
      </c>
      <c r="I133" s="495" t="s">
        <v>84</v>
      </c>
      <c r="J133" s="495" t="str">
        <f t="shared" si="58"/>
        <v>Add-On</v>
      </c>
      <c r="K133" s="495" t="str">
        <f t="shared" si="58"/>
        <v>Add-On</v>
      </c>
      <c r="L133" s="495" t="str">
        <f t="shared" si="58"/>
        <v>Add-On</v>
      </c>
      <c r="M133" s="495" t="str">
        <f t="shared" si="58"/>
        <v>Add-On</v>
      </c>
      <c r="N133" s="495" t="str">
        <f t="shared" si="58"/>
        <v>Add-On</v>
      </c>
      <c r="O133" s="495" t="str">
        <f t="shared" si="58"/>
        <v>Add-On</v>
      </c>
      <c r="P133" s="495" t="str">
        <f t="shared" si="58"/>
        <v>Add-On</v>
      </c>
      <c r="Q133" s="495" t="str">
        <f t="shared" si="58"/>
        <v>Add-On</v>
      </c>
      <c r="R133" s="495" t="str">
        <f t="shared" si="58"/>
        <v>Add-On</v>
      </c>
      <c r="S133" s="495" t="str">
        <f t="shared" si="58"/>
        <v>Add-On</v>
      </c>
      <c r="T133" s="495" t="str">
        <f t="shared" si="58"/>
        <v>Add-On</v>
      </c>
      <c r="U133" s="486"/>
      <c r="V133" s="261">
        <f t="shared" si="55"/>
        <v>0</v>
      </c>
      <c r="W133" s="144"/>
      <c r="X133" s="145" t="s">
        <v>540</v>
      </c>
      <c r="Y133" s="99"/>
      <c r="Z133" s="419"/>
      <c r="AA133" s="644"/>
      <c r="AB133" s="546"/>
      <c r="AC133" s="99"/>
      <c r="AD133" s="99"/>
      <c r="AE133" s="99"/>
      <c r="AF133" s="99"/>
      <c r="AG133" s="99"/>
      <c r="AH133" s="100"/>
      <c r="AI133" s="100"/>
      <c r="AJ133" s="99"/>
      <c r="AK133" s="100"/>
      <c r="AL133" s="100"/>
      <c r="AM133" s="99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</row>
    <row r="134" spans="1:52" s="40" customFormat="1" ht="18" hidden="1" outlineLevel="1" x14ac:dyDescent="0.3">
      <c r="A134" s="96"/>
      <c r="B134" s="614"/>
      <c r="C134" s="142" t="s">
        <v>504</v>
      </c>
      <c r="D134" s="158"/>
      <c r="E134" s="158"/>
      <c r="F134" s="158"/>
      <c r="G134" s="158"/>
      <c r="H134" s="143" t="s">
        <v>543</v>
      </c>
      <c r="I134" s="495" t="s">
        <v>84</v>
      </c>
      <c r="J134" s="495" t="str">
        <f t="shared" si="58"/>
        <v>Add-On</v>
      </c>
      <c r="K134" s="495" t="str">
        <f t="shared" si="58"/>
        <v>Add-On</v>
      </c>
      <c r="L134" s="495" t="str">
        <f t="shared" si="58"/>
        <v>Add-On</v>
      </c>
      <c r="M134" s="495" t="str">
        <f t="shared" si="58"/>
        <v>Add-On</v>
      </c>
      <c r="N134" s="495" t="str">
        <f t="shared" si="58"/>
        <v>Add-On</v>
      </c>
      <c r="O134" s="495" t="str">
        <f t="shared" si="58"/>
        <v>Add-On</v>
      </c>
      <c r="P134" s="495" t="str">
        <f t="shared" si="58"/>
        <v>Add-On</v>
      </c>
      <c r="Q134" s="495" t="str">
        <f t="shared" si="58"/>
        <v>Add-On</v>
      </c>
      <c r="R134" s="495" t="str">
        <f t="shared" si="58"/>
        <v>Add-On</v>
      </c>
      <c r="S134" s="495" t="str">
        <f t="shared" si="58"/>
        <v>Add-On</v>
      </c>
      <c r="T134" s="495" t="str">
        <f t="shared" si="58"/>
        <v>Add-On</v>
      </c>
      <c r="U134" s="486"/>
      <c r="V134" s="261">
        <f t="shared" si="55"/>
        <v>0</v>
      </c>
      <c r="W134" s="144"/>
      <c r="X134" s="145" t="s">
        <v>540</v>
      </c>
      <c r="Y134" s="99"/>
      <c r="Z134" s="419"/>
      <c r="AA134" s="644"/>
      <c r="AB134" s="546"/>
      <c r="AC134" s="99"/>
      <c r="AD134" s="99"/>
      <c r="AE134" s="99"/>
      <c r="AF134" s="99"/>
      <c r="AG134" s="99"/>
      <c r="AH134" s="100"/>
      <c r="AI134" s="100"/>
      <c r="AJ134" s="99"/>
      <c r="AK134" s="100"/>
      <c r="AL134" s="100"/>
      <c r="AM134" s="99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</row>
    <row r="135" spans="1:52" s="40" customFormat="1" ht="18" hidden="1" outlineLevel="1" x14ac:dyDescent="0.3">
      <c r="A135" s="96"/>
      <c r="B135" s="614"/>
      <c r="C135" s="142" t="s">
        <v>505</v>
      </c>
      <c r="D135" s="158"/>
      <c r="E135" s="158"/>
      <c r="F135" s="158"/>
      <c r="G135" s="158"/>
      <c r="H135" s="143" t="s">
        <v>543</v>
      </c>
      <c r="I135" s="495" t="s">
        <v>84</v>
      </c>
      <c r="J135" s="495" t="str">
        <f t="shared" si="58"/>
        <v>Add-On</v>
      </c>
      <c r="K135" s="495" t="str">
        <f t="shared" si="58"/>
        <v>Add-On</v>
      </c>
      <c r="L135" s="495" t="str">
        <f t="shared" si="58"/>
        <v>Add-On</v>
      </c>
      <c r="M135" s="495" t="str">
        <f t="shared" si="58"/>
        <v>Add-On</v>
      </c>
      <c r="N135" s="495" t="str">
        <f t="shared" si="58"/>
        <v>Add-On</v>
      </c>
      <c r="O135" s="495" t="str">
        <f t="shared" si="58"/>
        <v>Add-On</v>
      </c>
      <c r="P135" s="495" t="str">
        <f t="shared" si="58"/>
        <v>Add-On</v>
      </c>
      <c r="Q135" s="495" t="str">
        <f t="shared" si="58"/>
        <v>Add-On</v>
      </c>
      <c r="R135" s="495" t="str">
        <f t="shared" si="58"/>
        <v>Add-On</v>
      </c>
      <c r="S135" s="495" t="str">
        <f t="shared" si="58"/>
        <v>Add-On</v>
      </c>
      <c r="T135" s="495" t="str">
        <f t="shared" si="58"/>
        <v>Add-On</v>
      </c>
      <c r="U135" s="486"/>
      <c r="V135" s="261">
        <f t="shared" si="55"/>
        <v>0</v>
      </c>
      <c r="W135" s="144"/>
      <c r="X135" s="145" t="s">
        <v>540</v>
      </c>
      <c r="Y135" s="99"/>
      <c r="Z135" s="419" t="s">
        <v>2</v>
      </c>
      <c r="AA135" s="644">
        <f>D135</f>
        <v>0</v>
      </c>
      <c r="AB135" s="546" t="e">
        <f>V135/W135</f>
        <v>#DIV/0!</v>
      </c>
      <c r="AC135" s="99"/>
      <c r="AD135" s="99"/>
      <c r="AE135" s="99"/>
      <c r="AF135" s="99"/>
      <c r="AG135" s="99"/>
      <c r="AH135" s="100"/>
      <c r="AI135" s="100"/>
      <c r="AJ135" s="99"/>
      <c r="AK135" s="100"/>
      <c r="AL135" s="100"/>
      <c r="AM135" s="99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</row>
    <row r="136" spans="1:52" s="40" customFormat="1" ht="18" hidden="1" outlineLevel="1" x14ac:dyDescent="0.3">
      <c r="A136" s="96"/>
      <c r="B136" s="614"/>
      <c r="C136" s="142" t="s">
        <v>506</v>
      </c>
      <c r="D136" s="158"/>
      <c r="E136" s="158"/>
      <c r="F136" s="158"/>
      <c r="G136" s="158"/>
      <c r="H136" s="143" t="s">
        <v>543</v>
      </c>
      <c r="I136" s="495" t="s">
        <v>84</v>
      </c>
      <c r="J136" s="495" t="str">
        <f t="shared" si="58"/>
        <v>Add-On</v>
      </c>
      <c r="K136" s="495" t="str">
        <f t="shared" si="58"/>
        <v>Add-On</v>
      </c>
      <c r="L136" s="495" t="str">
        <f t="shared" si="58"/>
        <v>Add-On</v>
      </c>
      <c r="M136" s="495" t="str">
        <f t="shared" si="58"/>
        <v>Add-On</v>
      </c>
      <c r="N136" s="495" t="str">
        <f t="shared" si="58"/>
        <v>Add-On</v>
      </c>
      <c r="O136" s="495" t="str">
        <f t="shared" si="58"/>
        <v>Add-On</v>
      </c>
      <c r="P136" s="495" t="str">
        <f t="shared" si="58"/>
        <v>Add-On</v>
      </c>
      <c r="Q136" s="495" t="str">
        <f t="shared" si="58"/>
        <v>Add-On</v>
      </c>
      <c r="R136" s="495" t="str">
        <f t="shared" si="58"/>
        <v>Add-On</v>
      </c>
      <c r="S136" s="495" t="str">
        <f t="shared" si="58"/>
        <v>Add-On</v>
      </c>
      <c r="T136" s="495" t="str">
        <f t="shared" si="58"/>
        <v>Add-On</v>
      </c>
      <c r="U136" s="486"/>
      <c r="V136" s="261">
        <f t="shared" si="55"/>
        <v>0</v>
      </c>
      <c r="W136" s="144"/>
      <c r="X136" s="145" t="s">
        <v>540</v>
      </c>
      <c r="Y136" s="99"/>
      <c r="Z136" s="419" t="s">
        <v>2</v>
      </c>
      <c r="AA136" s="644">
        <f>D136</f>
        <v>0</v>
      </c>
      <c r="AB136" s="546" t="e">
        <f>V136/W136</f>
        <v>#DIV/0!</v>
      </c>
      <c r="AC136" s="99"/>
      <c r="AD136" s="99"/>
      <c r="AE136" s="99"/>
      <c r="AF136" s="99"/>
      <c r="AG136" s="99"/>
      <c r="AH136" s="100"/>
      <c r="AI136" s="100"/>
      <c r="AJ136" s="99"/>
      <c r="AK136" s="100"/>
      <c r="AL136" s="100"/>
      <c r="AM136" s="99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</row>
    <row r="137" spans="1:52" s="40" customFormat="1" ht="18" hidden="1" outlineLevel="1" x14ac:dyDescent="0.3">
      <c r="A137" s="96"/>
      <c r="B137" s="614"/>
      <c r="C137" s="142" t="s">
        <v>507</v>
      </c>
      <c r="D137" s="158"/>
      <c r="E137" s="158"/>
      <c r="F137" s="158"/>
      <c r="G137" s="158"/>
      <c r="H137" s="143" t="s">
        <v>543</v>
      </c>
      <c r="I137" s="495" t="s">
        <v>84</v>
      </c>
      <c r="J137" s="495" t="str">
        <f t="shared" ref="J137:T146" si="59">IF($B$106="x","enthalten","Add-On")</f>
        <v>Add-On</v>
      </c>
      <c r="K137" s="495" t="str">
        <f t="shared" si="59"/>
        <v>Add-On</v>
      </c>
      <c r="L137" s="495" t="str">
        <f t="shared" si="59"/>
        <v>Add-On</v>
      </c>
      <c r="M137" s="495" t="str">
        <f t="shared" si="59"/>
        <v>Add-On</v>
      </c>
      <c r="N137" s="495" t="str">
        <f t="shared" si="59"/>
        <v>Add-On</v>
      </c>
      <c r="O137" s="495" t="str">
        <f t="shared" si="59"/>
        <v>Add-On</v>
      </c>
      <c r="P137" s="495" t="str">
        <f t="shared" si="59"/>
        <v>Add-On</v>
      </c>
      <c r="Q137" s="495" t="str">
        <f t="shared" si="59"/>
        <v>Add-On</v>
      </c>
      <c r="R137" s="495" t="str">
        <f t="shared" si="59"/>
        <v>Add-On</v>
      </c>
      <c r="S137" s="495" t="str">
        <f t="shared" si="59"/>
        <v>Add-On</v>
      </c>
      <c r="T137" s="495" t="str">
        <f t="shared" si="59"/>
        <v>Add-On</v>
      </c>
      <c r="U137" s="486"/>
      <c r="V137" s="261">
        <f t="shared" si="55"/>
        <v>0</v>
      </c>
      <c r="W137" s="144"/>
      <c r="X137" s="145" t="s">
        <v>540</v>
      </c>
      <c r="Y137" s="99"/>
      <c r="Z137" s="419"/>
      <c r="AA137" s="644"/>
      <c r="AB137" s="546"/>
      <c r="AC137" s="99"/>
      <c r="AD137" s="99"/>
      <c r="AE137" s="99"/>
      <c r="AF137" s="99"/>
      <c r="AG137" s="99"/>
      <c r="AH137" s="100"/>
      <c r="AI137" s="100"/>
      <c r="AJ137" s="99"/>
      <c r="AK137" s="100"/>
      <c r="AL137" s="100"/>
      <c r="AM137" s="99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</row>
    <row r="138" spans="1:52" s="40" customFormat="1" ht="18" hidden="1" outlineLevel="1" x14ac:dyDescent="0.3">
      <c r="A138" s="96"/>
      <c r="B138" s="614"/>
      <c r="C138" s="142" t="s">
        <v>508</v>
      </c>
      <c r="D138" s="158"/>
      <c r="E138" s="158"/>
      <c r="F138" s="158"/>
      <c r="G138" s="158"/>
      <c r="H138" s="143" t="s">
        <v>543</v>
      </c>
      <c r="I138" s="495" t="s">
        <v>84</v>
      </c>
      <c r="J138" s="495" t="str">
        <f t="shared" si="59"/>
        <v>Add-On</v>
      </c>
      <c r="K138" s="495" t="str">
        <f t="shared" si="59"/>
        <v>Add-On</v>
      </c>
      <c r="L138" s="495" t="str">
        <f t="shared" si="59"/>
        <v>Add-On</v>
      </c>
      <c r="M138" s="495" t="str">
        <f t="shared" si="59"/>
        <v>Add-On</v>
      </c>
      <c r="N138" s="495" t="str">
        <f t="shared" si="59"/>
        <v>Add-On</v>
      </c>
      <c r="O138" s="495" t="str">
        <f t="shared" si="59"/>
        <v>Add-On</v>
      </c>
      <c r="P138" s="495" t="str">
        <f t="shared" si="59"/>
        <v>Add-On</v>
      </c>
      <c r="Q138" s="495" t="str">
        <f t="shared" si="59"/>
        <v>Add-On</v>
      </c>
      <c r="R138" s="495" t="str">
        <f t="shared" si="59"/>
        <v>Add-On</v>
      </c>
      <c r="S138" s="495" t="str">
        <f t="shared" si="59"/>
        <v>Add-On</v>
      </c>
      <c r="T138" s="495" t="str">
        <f t="shared" si="59"/>
        <v>Add-On</v>
      </c>
      <c r="U138" s="486"/>
      <c r="V138" s="261">
        <f t="shared" ref="V138:V155" si="60">ROUND(U138*1.19,2)</f>
        <v>0</v>
      </c>
      <c r="W138" s="144"/>
      <c r="X138" s="145" t="s">
        <v>540</v>
      </c>
      <c r="Y138" s="99"/>
      <c r="Z138" s="419"/>
      <c r="AA138" s="644"/>
      <c r="AB138" s="546"/>
      <c r="AC138" s="99"/>
      <c r="AD138" s="99"/>
      <c r="AE138" s="99"/>
      <c r="AF138" s="99"/>
      <c r="AG138" s="99"/>
      <c r="AH138" s="100"/>
      <c r="AI138" s="100"/>
      <c r="AJ138" s="99"/>
      <c r="AK138" s="100"/>
      <c r="AL138" s="100"/>
      <c r="AM138" s="99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</row>
    <row r="139" spans="1:52" s="40" customFormat="1" ht="18" hidden="1" outlineLevel="1" x14ac:dyDescent="0.3">
      <c r="A139" s="96"/>
      <c r="B139" s="614"/>
      <c r="C139" s="142" t="s">
        <v>509</v>
      </c>
      <c r="D139" s="158"/>
      <c r="E139" s="158"/>
      <c r="F139" s="158"/>
      <c r="G139" s="158"/>
      <c r="H139" s="143" t="s">
        <v>543</v>
      </c>
      <c r="I139" s="495" t="s">
        <v>84</v>
      </c>
      <c r="J139" s="495" t="str">
        <f t="shared" si="59"/>
        <v>Add-On</v>
      </c>
      <c r="K139" s="495" t="str">
        <f t="shared" si="59"/>
        <v>Add-On</v>
      </c>
      <c r="L139" s="495" t="str">
        <f t="shared" si="59"/>
        <v>Add-On</v>
      </c>
      <c r="M139" s="495" t="str">
        <f t="shared" si="59"/>
        <v>Add-On</v>
      </c>
      <c r="N139" s="495" t="str">
        <f t="shared" si="59"/>
        <v>Add-On</v>
      </c>
      <c r="O139" s="495" t="str">
        <f t="shared" si="59"/>
        <v>Add-On</v>
      </c>
      <c r="P139" s="495" t="str">
        <f t="shared" si="59"/>
        <v>Add-On</v>
      </c>
      <c r="Q139" s="495" t="str">
        <f t="shared" si="59"/>
        <v>Add-On</v>
      </c>
      <c r="R139" s="495" t="str">
        <f t="shared" si="59"/>
        <v>Add-On</v>
      </c>
      <c r="S139" s="495" t="str">
        <f t="shared" si="59"/>
        <v>Add-On</v>
      </c>
      <c r="T139" s="495" t="str">
        <f t="shared" si="59"/>
        <v>Add-On</v>
      </c>
      <c r="U139" s="486"/>
      <c r="V139" s="261">
        <f t="shared" si="60"/>
        <v>0</v>
      </c>
      <c r="W139" s="144"/>
      <c r="X139" s="145" t="s">
        <v>540</v>
      </c>
      <c r="Y139" s="99"/>
      <c r="Z139" s="419" t="s">
        <v>2</v>
      </c>
      <c r="AA139" s="644">
        <f>D139</f>
        <v>0</v>
      </c>
      <c r="AB139" s="546" t="e">
        <f>V139/W139</f>
        <v>#DIV/0!</v>
      </c>
      <c r="AC139" s="99"/>
      <c r="AD139" s="99"/>
      <c r="AE139" s="99"/>
      <c r="AF139" s="99"/>
      <c r="AG139" s="99"/>
      <c r="AH139" s="100"/>
      <c r="AI139" s="100"/>
      <c r="AJ139" s="99"/>
      <c r="AK139" s="100"/>
      <c r="AL139" s="100"/>
      <c r="AM139" s="99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</row>
    <row r="140" spans="1:52" s="40" customFormat="1" ht="18" hidden="1" outlineLevel="1" x14ac:dyDescent="0.3">
      <c r="A140" s="96"/>
      <c r="B140" s="614"/>
      <c r="C140" s="142" t="s">
        <v>510</v>
      </c>
      <c r="D140" s="158"/>
      <c r="E140" s="158"/>
      <c r="F140" s="158"/>
      <c r="G140" s="158"/>
      <c r="H140" s="143" t="s">
        <v>543</v>
      </c>
      <c r="I140" s="495" t="s">
        <v>84</v>
      </c>
      <c r="J140" s="495" t="str">
        <f t="shared" si="59"/>
        <v>Add-On</v>
      </c>
      <c r="K140" s="495" t="str">
        <f t="shared" si="59"/>
        <v>Add-On</v>
      </c>
      <c r="L140" s="495" t="str">
        <f t="shared" si="59"/>
        <v>Add-On</v>
      </c>
      <c r="M140" s="495" t="str">
        <f t="shared" si="59"/>
        <v>Add-On</v>
      </c>
      <c r="N140" s="495" t="str">
        <f t="shared" si="59"/>
        <v>Add-On</v>
      </c>
      <c r="O140" s="495" t="str">
        <f t="shared" si="59"/>
        <v>Add-On</v>
      </c>
      <c r="P140" s="495" t="str">
        <f t="shared" si="59"/>
        <v>Add-On</v>
      </c>
      <c r="Q140" s="495" t="str">
        <f t="shared" si="59"/>
        <v>Add-On</v>
      </c>
      <c r="R140" s="495" t="str">
        <f t="shared" si="59"/>
        <v>Add-On</v>
      </c>
      <c r="S140" s="495" t="str">
        <f t="shared" si="59"/>
        <v>Add-On</v>
      </c>
      <c r="T140" s="495" t="str">
        <f t="shared" si="59"/>
        <v>Add-On</v>
      </c>
      <c r="U140" s="486"/>
      <c r="V140" s="261">
        <f t="shared" si="60"/>
        <v>0</v>
      </c>
      <c r="W140" s="144"/>
      <c r="X140" s="145" t="s">
        <v>540</v>
      </c>
      <c r="Y140" s="99"/>
      <c r="Z140" s="419" t="s">
        <v>2</v>
      </c>
      <c r="AA140" s="644">
        <f>D140</f>
        <v>0</v>
      </c>
      <c r="AB140" s="546" t="e">
        <f>V140/W140</f>
        <v>#DIV/0!</v>
      </c>
      <c r="AC140" s="99"/>
      <c r="AD140" s="99"/>
      <c r="AE140" s="99"/>
      <c r="AF140" s="99"/>
      <c r="AG140" s="99"/>
      <c r="AH140" s="100"/>
      <c r="AI140" s="100"/>
      <c r="AJ140" s="99"/>
      <c r="AK140" s="100"/>
      <c r="AL140" s="100"/>
      <c r="AM140" s="99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</row>
    <row r="141" spans="1:52" s="40" customFormat="1" ht="18" hidden="1" outlineLevel="1" x14ac:dyDescent="0.3">
      <c r="A141" s="96"/>
      <c r="B141" s="614"/>
      <c r="C141" s="142" t="s">
        <v>490</v>
      </c>
      <c r="D141" s="158"/>
      <c r="E141" s="158"/>
      <c r="F141" s="158"/>
      <c r="G141" s="158"/>
      <c r="H141" s="143" t="s">
        <v>543</v>
      </c>
      <c r="I141" s="495" t="s">
        <v>84</v>
      </c>
      <c r="J141" s="495" t="str">
        <f t="shared" si="59"/>
        <v>Add-On</v>
      </c>
      <c r="K141" s="495" t="str">
        <f t="shared" si="59"/>
        <v>Add-On</v>
      </c>
      <c r="L141" s="495" t="str">
        <f t="shared" si="59"/>
        <v>Add-On</v>
      </c>
      <c r="M141" s="495" t="str">
        <f t="shared" si="59"/>
        <v>Add-On</v>
      </c>
      <c r="N141" s="495" t="str">
        <f t="shared" si="59"/>
        <v>Add-On</v>
      </c>
      <c r="O141" s="495" t="str">
        <f t="shared" si="59"/>
        <v>Add-On</v>
      </c>
      <c r="P141" s="495" t="str">
        <f t="shared" si="59"/>
        <v>Add-On</v>
      </c>
      <c r="Q141" s="495" t="str">
        <f t="shared" si="59"/>
        <v>Add-On</v>
      </c>
      <c r="R141" s="495" t="str">
        <f t="shared" si="59"/>
        <v>Add-On</v>
      </c>
      <c r="S141" s="495" t="str">
        <f t="shared" si="59"/>
        <v>Add-On</v>
      </c>
      <c r="T141" s="495" t="str">
        <f t="shared" si="59"/>
        <v>Add-On</v>
      </c>
      <c r="U141" s="486"/>
      <c r="V141" s="261">
        <f t="shared" si="60"/>
        <v>0</v>
      </c>
      <c r="W141" s="144"/>
      <c r="X141" s="145" t="s">
        <v>540</v>
      </c>
      <c r="Y141" s="99"/>
      <c r="Z141" s="419" t="s">
        <v>2</v>
      </c>
      <c r="AA141" s="644">
        <f>D141</f>
        <v>0</v>
      </c>
      <c r="AB141" s="546" t="e">
        <f>V141/W141</f>
        <v>#DIV/0!</v>
      </c>
      <c r="AC141" s="99"/>
      <c r="AD141" s="99"/>
      <c r="AE141" s="99"/>
      <c r="AF141" s="99"/>
      <c r="AG141" s="99"/>
      <c r="AH141" s="100"/>
      <c r="AI141" s="100"/>
      <c r="AJ141" s="99"/>
      <c r="AK141" s="100"/>
      <c r="AL141" s="100"/>
      <c r="AM141" s="99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</row>
    <row r="142" spans="1:52" s="40" customFormat="1" ht="18" hidden="1" outlineLevel="1" x14ac:dyDescent="0.3">
      <c r="A142" s="96"/>
      <c r="B142" s="614"/>
      <c r="C142" s="142" t="s">
        <v>491</v>
      </c>
      <c r="D142" s="158"/>
      <c r="E142" s="158"/>
      <c r="F142" s="158"/>
      <c r="G142" s="158"/>
      <c r="H142" s="143" t="s">
        <v>543</v>
      </c>
      <c r="I142" s="495" t="s">
        <v>84</v>
      </c>
      <c r="J142" s="495" t="str">
        <f t="shared" si="59"/>
        <v>Add-On</v>
      </c>
      <c r="K142" s="495" t="str">
        <f t="shared" si="59"/>
        <v>Add-On</v>
      </c>
      <c r="L142" s="495" t="str">
        <f t="shared" si="59"/>
        <v>Add-On</v>
      </c>
      <c r="M142" s="495" t="str">
        <f t="shared" si="59"/>
        <v>Add-On</v>
      </c>
      <c r="N142" s="495" t="str">
        <f t="shared" si="59"/>
        <v>Add-On</v>
      </c>
      <c r="O142" s="495" t="str">
        <f t="shared" si="59"/>
        <v>Add-On</v>
      </c>
      <c r="P142" s="495" t="str">
        <f t="shared" si="59"/>
        <v>Add-On</v>
      </c>
      <c r="Q142" s="495" t="str">
        <f t="shared" si="59"/>
        <v>Add-On</v>
      </c>
      <c r="R142" s="495" t="str">
        <f t="shared" si="59"/>
        <v>Add-On</v>
      </c>
      <c r="S142" s="495" t="str">
        <f t="shared" si="59"/>
        <v>Add-On</v>
      </c>
      <c r="T142" s="495" t="str">
        <f t="shared" si="59"/>
        <v>Add-On</v>
      </c>
      <c r="U142" s="486"/>
      <c r="V142" s="261">
        <f t="shared" si="60"/>
        <v>0</v>
      </c>
      <c r="W142" s="144"/>
      <c r="X142" s="145" t="s">
        <v>540</v>
      </c>
      <c r="Y142" s="99"/>
      <c r="Z142" s="419" t="s">
        <v>2</v>
      </c>
      <c r="AA142" s="644">
        <f>D142</f>
        <v>0</v>
      </c>
      <c r="AB142" s="546" t="e">
        <f>V142/W142</f>
        <v>#DIV/0!</v>
      </c>
      <c r="AC142" s="99"/>
      <c r="AD142" s="99"/>
      <c r="AE142" s="99"/>
      <c r="AF142" s="99"/>
      <c r="AG142" s="99"/>
      <c r="AH142" s="100"/>
      <c r="AI142" s="100"/>
      <c r="AJ142" s="99"/>
      <c r="AK142" s="100"/>
      <c r="AL142" s="100"/>
      <c r="AM142" s="99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</row>
    <row r="143" spans="1:52" s="40" customFormat="1" ht="18" hidden="1" outlineLevel="1" x14ac:dyDescent="0.3">
      <c r="A143" s="96"/>
      <c r="B143" s="614"/>
      <c r="C143" s="142" t="s">
        <v>492</v>
      </c>
      <c r="D143" s="158"/>
      <c r="E143" s="158"/>
      <c r="F143" s="158"/>
      <c r="G143" s="158"/>
      <c r="H143" s="143" t="s">
        <v>543</v>
      </c>
      <c r="I143" s="495" t="s">
        <v>84</v>
      </c>
      <c r="J143" s="495" t="str">
        <f t="shared" si="59"/>
        <v>Add-On</v>
      </c>
      <c r="K143" s="495" t="str">
        <f t="shared" si="59"/>
        <v>Add-On</v>
      </c>
      <c r="L143" s="495" t="str">
        <f t="shared" si="59"/>
        <v>Add-On</v>
      </c>
      <c r="M143" s="495" t="str">
        <f t="shared" si="59"/>
        <v>Add-On</v>
      </c>
      <c r="N143" s="495" t="str">
        <f t="shared" si="59"/>
        <v>Add-On</v>
      </c>
      <c r="O143" s="495" t="str">
        <f t="shared" si="59"/>
        <v>Add-On</v>
      </c>
      <c r="P143" s="495" t="str">
        <f t="shared" si="59"/>
        <v>Add-On</v>
      </c>
      <c r="Q143" s="495" t="str">
        <f t="shared" si="59"/>
        <v>Add-On</v>
      </c>
      <c r="R143" s="495" t="str">
        <f t="shared" si="59"/>
        <v>Add-On</v>
      </c>
      <c r="S143" s="495" t="str">
        <f t="shared" si="59"/>
        <v>Add-On</v>
      </c>
      <c r="T143" s="495" t="str">
        <f t="shared" si="59"/>
        <v>Add-On</v>
      </c>
      <c r="U143" s="486"/>
      <c r="V143" s="261">
        <f t="shared" si="60"/>
        <v>0</v>
      </c>
      <c r="W143" s="144"/>
      <c r="X143" s="145" t="s">
        <v>540</v>
      </c>
      <c r="Y143" s="99"/>
      <c r="Z143" s="419" t="s">
        <v>2</v>
      </c>
      <c r="AA143" s="644">
        <f>D143</f>
        <v>0</v>
      </c>
      <c r="AB143" s="546" t="e">
        <f>V143/W143</f>
        <v>#DIV/0!</v>
      </c>
      <c r="AC143" s="99"/>
      <c r="AD143" s="99"/>
      <c r="AE143" s="99"/>
      <c r="AF143" s="99"/>
      <c r="AG143" s="99"/>
      <c r="AH143" s="100"/>
      <c r="AI143" s="100"/>
      <c r="AJ143" s="99"/>
      <c r="AK143" s="100"/>
      <c r="AL143" s="100"/>
      <c r="AM143" s="99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</row>
    <row r="144" spans="1:52" s="40" customFormat="1" ht="18" hidden="1" outlineLevel="1" x14ac:dyDescent="0.3">
      <c r="A144" s="96"/>
      <c r="B144" s="614"/>
      <c r="C144" s="142" t="s">
        <v>493</v>
      </c>
      <c r="D144" s="158"/>
      <c r="E144" s="158"/>
      <c r="F144" s="158"/>
      <c r="G144" s="158"/>
      <c r="H144" s="143" t="s">
        <v>543</v>
      </c>
      <c r="I144" s="495" t="s">
        <v>84</v>
      </c>
      <c r="J144" s="495" t="str">
        <f t="shared" si="59"/>
        <v>Add-On</v>
      </c>
      <c r="K144" s="495" t="str">
        <f t="shared" si="59"/>
        <v>Add-On</v>
      </c>
      <c r="L144" s="495" t="str">
        <f t="shared" si="59"/>
        <v>Add-On</v>
      </c>
      <c r="M144" s="495" t="str">
        <f t="shared" si="59"/>
        <v>Add-On</v>
      </c>
      <c r="N144" s="495" t="str">
        <f t="shared" si="59"/>
        <v>Add-On</v>
      </c>
      <c r="O144" s="495" t="str">
        <f t="shared" si="59"/>
        <v>Add-On</v>
      </c>
      <c r="P144" s="495" t="str">
        <f t="shared" si="59"/>
        <v>Add-On</v>
      </c>
      <c r="Q144" s="495" t="str">
        <f t="shared" si="59"/>
        <v>Add-On</v>
      </c>
      <c r="R144" s="495" t="str">
        <f t="shared" si="59"/>
        <v>Add-On</v>
      </c>
      <c r="S144" s="495" t="str">
        <f t="shared" si="59"/>
        <v>Add-On</v>
      </c>
      <c r="T144" s="495" t="str">
        <f t="shared" si="59"/>
        <v>Add-On</v>
      </c>
      <c r="U144" s="486"/>
      <c r="V144" s="261">
        <f t="shared" si="60"/>
        <v>0</v>
      </c>
      <c r="W144" s="144"/>
      <c r="X144" s="145" t="s">
        <v>540</v>
      </c>
      <c r="Y144" s="99"/>
      <c r="Z144" s="419"/>
      <c r="AA144" s="644"/>
      <c r="AB144" s="546"/>
      <c r="AC144" s="99"/>
      <c r="AD144" s="99"/>
      <c r="AE144" s="99"/>
      <c r="AF144" s="99"/>
      <c r="AG144" s="99"/>
      <c r="AH144" s="100"/>
      <c r="AI144" s="100"/>
      <c r="AJ144" s="99"/>
      <c r="AK144" s="100"/>
      <c r="AL144" s="100"/>
      <c r="AM144" s="99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</row>
    <row r="145" spans="1:52" s="40" customFormat="1" ht="18" hidden="1" outlineLevel="1" x14ac:dyDescent="0.3">
      <c r="A145" s="96"/>
      <c r="B145" s="614"/>
      <c r="C145" s="142" t="s">
        <v>511</v>
      </c>
      <c r="D145" s="158"/>
      <c r="E145" s="158"/>
      <c r="F145" s="158"/>
      <c r="G145" s="158"/>
      <c r="H145" s="143" t="s">
        <v>543</v>
      </c>
      <c r="I145" s="495" t="s">
        <v>84</v>
      </c>
      <c r="J145" s="495" t="str">
        <f t="shared" si="59"/>
        <v>Add-On</v>
      </c>
      <c r="K145" s="495" t="str">
        <f t="shared" si="59"/>
        <v>Add-On</v>
      </c>
      <c r="L145" s="495" t="str">
        <f t="shared" si="59"/>
        <v>Add-On</v>
      </c>
      <c r="M145" s="495" t="str">
        <f t="shared" si="59"/>
        <v>Add-On</v>
      </c>
      <c r="N145" s="495" t="str">
        <f t="shared" si="59"/>
        <v>Add-On</v>
      </c>
      <c r="O145" s="495" t="str">
        <f t="shared" si="59"/>
        <v>Add-On</v>
      </c>
      <c r="P145" s="495" t="str">
        <f t="shared" si="59"/>
        <v>Add-On</v>
      </c>
      <c r="Q145" s="495" t="str">
        <f t="shared" si="59"/>
        <v>Add-On</v>
      </c>
      <c r="R145" s="495" t="str">
        <f t="shared" si="59"/>
        <v>Add-On</v>
      </c>
      <c r="S145" s="495" t="str">
        <f t="shared" si="59"/>
        <v>Add-On</v>
      </c>
      <c r="T145" s="495" t="str">
        <f t="shared" si="59"/>
        <v>Add-On</v>
      </c>
      <c r="U145" s="486"/>
      <c r="V145" s="261">
        <f t="shared" si="60"/>
        <v>0</v>
      </c>
      <c r="W145" s="144"/>
      <c r="X145" s="145" t="s">
        <v>540</v>
      </c>
      <c r="Y145" s="99"/>
      <c r="Z145" s="419" t="s">
        <v>2</v>
      </c>
      <c r="AA145" s="644">
        <f>D145</f>
        <v>0</v>
      </c>
      <c r="AB145" s="546" t="e">
        <f>V145/W145</f>
        <v>#DIV/0!</v>
      </c>
      <c r="AC145" s="99"/>
      <c r="AD145" s="99"/>
      <c r="AE145" s="99"/>
      <c r="AF145" s="99"/>
      <c r="AG145" s="99"/>
      <c r="AH145" s="100"/>
      <c r="AI145" s="100"/>
      <c r="AJ145" s="99"/>
      <c r="AK145" s="100"/>
      <c r="AL145" s="100"/>
      <c r="AM145" s="99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</row>
    <row r="146" spans="1:52" s="40" customFormat="1" ht="18" hidden="1" outlineLevel="1" x14ac:dyDescent="0.3">
      <c r="A146" s="96"/>
      <c r="B146" s="614"/>
      <c r="C146" s="142" t="s">
        <v>494</v>
      </c>
      <c r="D146" s="158"/>
      <c r="E146" s="158"/>
      <c r="F146" s="158"/>
      <c r="G146" s="158"/>
      <c r="H146" s="143" t="s">
        <v>543</v>
      </c>
      <c r="I146" s="495" t="s">
        <v>84</v>
      </c>
      <c r="J146" s="495" t="str">
        <f t="shared" si="59"/>
        <v>Add-On</v>
      </c>
      <c r="K146" s="495" t="str">
        <f t="shared" si="59"/>
        <v>Add-On</v>
      </c>
      <c r="L146" s="495" t="str">
        <f t="shared" si="59"/>
        <v>Add-On</v>
      </c>
      <c r="M146" s="495" t="str">
        <f t="shared" si="59"/>
        <v>Add-On</v>
      </c>
      <c r="N146" s="495" t="str">
        <f t="shared" si="59"/>
        <v>Add-On</v>
      </c>
      <c r="O146" s="495" t="str">
        <f t="shared" si="59"/>
        <v>Add-On</v>
      </c>
      <c r="P146" s="495" t="str">
        <f t="shared" si="59"/>
        <v>Add-On</v>
      </c>
      <c r="Q146" s="495" t="str">
        <f t="shared" si="59"/>
        <v>Add-On</v>
      </c>
      <c r="R146" s="495" t="str">
        <f t="shared" si="59"/>
        <v>Add-On</v>
      </c>
      <c r="S146" s="495" t="str">
        <f t="shared" si="59"/>
        <v>Add-On</v>
      </c>
      <c r="T146" s="495" t="str">
        <f t="shared" si="59"/>
        <v>Add-On</v>
      </c>
      <c r="U146" s="486"/>
      <c r="V146" s="261">
        <f t="shared" si="60"/>
        <v>0</v>
      </c>
      <c r="W146" s="144"/>
      <c r="X146" s="145" t="s">
        <v>540</v>
      </c>
      <c r="Y146" s="99"/>
      <c r="Z146" s="419"/>
      <c r="AA146" s="644"/>
      <c r="AB146" s="546"/>
      <c r="AC146" s="99"/>
      <c r="AD146" s="99"/>
      <c r="AE146" s="99"/>
      <c r="AF146" s="99"/>
      <c r="AG146" s="99"/>
      <c r="AH146" s="100"/>
      <c r="AI146" s="100"/>
      <c r="AJ146" s="99"/>
      <c r="AK146" s="100"/>
      <c r="AL146" s="100"/>
      <c r="AM146" s="99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</row>
    <row r="147" spans="1:52" s="40" customFormat="1" ht="18" hidden="1" outlineLevel="1" x14ac:dyDescent="0.3">
      <c r="A147" s="96"/>
      <c r="B147" s="614"/>
      <c r="C147" s="142" t="s">
        <v>512</v>
      </c>
      <c r="D147" s="158"/>
      <c r="E147" s="158"/>
      <c r="F147" s="158"/>
      <c r="G147" s="158"/>
      <c r="H147" s="143" t="s">
        <v>543</v>
      </c>
      <c r="I147" s="495" t="s">
        <v>84</v>
      </c>
      <c r="J147" s="495" t="str">
        <f t="shared" ref="J147:T155" si="61">IF($B$106="x","enthalten","Add-On")</f>
        <v>Add-On</v>
      </c>
      <c r="K147" s="495" t="str">
        <f t="shared" si="61"/>
        <v>Add-On</v>
      </c>
      <c r="L147" s="495" t="str">
        <f t="shared" si="61"/>
        <v>Add-On</v>
      </c>
      <c r="M147" s="495" t="str">
        <f t="shared" si="61"/>
        <v>Add-On</v>
      </c>
      <c r="N147" s="495" t="str">
        <f t="shared" si="61"/>
        <v>Add-On</v>
      </c>
      <c r="O147" s="495" t="str">
        <f t="shared" si="61"/>
        <v>Add-On</v>
      </c>
      <c r="P147" s="495" t="str">
        <f t="shared" si="61"/>
        <v>Add-On</v>
      </c>
      <c r="Q147" s="495" t="str">
        <f t="shared" si="61"/>
        <v>Add-On</v>
      </c>
      <c r="R147" s="495" t="str">
        <f t="shared" si="61"/>
        <v>Add-On</v>
      </c>
      <c r="S147" s="495" t="str">
        <f t="shared" si="61"/>
        <v>Add-On</v>
      </c>
      <c r="T147" s="495" t="str">
        <f t="shared" si="61"/>
        <v>Add-On</v>
      </c>
      <c r="U147" s="486"/>
      <c r="V147" s="261">
        <f t="shared" si="60"/>
        <v>0</v>
      </c>
      <c r="W147" s="144"/>
      <c r="X147" s="145" t="s">
        <v>540</v>
      </c>
      <c r="Y147" s="99"/>
      <c r="Z147" s="419"/>
      <c r="AA147" s="644"/>
      <c r="AB147" s="546"/>
      <c r="AC147" s="99"/>
      <c r="AD147" s="99"/>
      <c r="AE147" s="99"/>
      <c r="AF147" s="99"/>
      <c r="AG147" s="99"/>
      <c r="AH147" s="100"/>
      <c r="AI147" s="100"/>
      <c r="AJ147" s="99"/>
      <c r="AK147" s="100"/>
      <c r="AL147" s="100"/>
      <c r="AM147" s="99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</row>
    <row r="148" spans="1:52" s="40" customFormat="1" ht="18" hidden="1" outlineLevel="1" x14ac:dyDescent="0.3">
      <c r="A148" s="96"/>
      <c r="B148" s="614"/>
      <c r="C148" s="142" t="s">
        <v>513</v>
      </c>
      <c r="D148" s="158"/>
      <c r="E148" s="158"/>
      <c r="F148" s="158"/>
      <c r="G148" s="158"/>
      <c r="H148" s="143" t="s">
        <v>543</v>
      </c>
      <c r="I148" s="495" t="s">
        <v>84</v>
      </c>
      <c r="J148" s="495" t="str">
        <f t="shared" si="61"/>
        <v>Add-On</v>
      </c>
      <c r="K148" s="495" t="str">
        <f t="shared" si="61"/>
        <v>Add-On</v>
      </c>
      <c r="L148" s="495" t="str">
        <f t="shared" si="61"/>
        <v>Add-On</v>
      </c>
      <c r="M148" s="495" t="str">
        <f t="shared" si="61"/>
        <v>Add-On</v>
      </c>
      <c r="N148" s="495" t="str">
        <f t="shared" si="61"/>
        <v>Add-On</v>
      </c>
      <c r="O148" s="495" t="str">
        <f t="shared" si="61"/>
        <v>Add-On</v>
      </c>
      <c r="P148" s="495" t="str">
        <f t="shared" si="61"/>
        <v>Add-On</v>
      </c>
      <c r="Q148" s="495" t="str">
        <f t="shared" si="61"/>
        <v>Add-On</v>
      </c>
      <c r="R148" s="495" t="str">
        <f t="shared" si="61"/>
        <v>Add-On</v>
      </c>
      <c r="S148" s="495" t="str">
        <f t="shared" si="61"/>
        <v>Add-On</v>
      </c>
      <c r="T148" s="495" t="str">
        <f t="shared" si="61"/>
        <v>Add-On</v>
      </c>
      <c r="U148" s="486"/>
      <c r="V148" s="261">
        <f t="shared" si="60"/>
        <v>0</v>
      </c>
      <c r="W148" s="144"/>
      <c r="X148" s="145" t="s">
        <v>540</v>
      </c>
      <c r="Y148" s="99"/>
      <c r="Z148" s="419"/>
      <c r="AA148" s="644"/>
      <c r="AB148" s="546"/>
      <c r="AC148" s="99"/>
      <c r="AD148" s="99"/>
      <c r="AE148" s="99"/>
      <c r="AF148" s="99"/>
      <c r="AG148" s="99"/>
      <c r="AH148" s="100"/>
      <c r="AI148" s="100"/>
      <c r="AJ148" s="99"/>
      <c r="AK148" s="100"/>
      <c r="AL148" s="100"/>
      <c r="AM148" s="99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</row>
    <row r="149" spans="1:52" s="40" customFormat="1" ht="18" hidden="1" outlineLevel="1" x14ac:dyDescent="0.3">
      <c r="A149" s="96"/>
      <c r="B149" s="614"/>
      <c r="C149" s="142" t="s">
        <v>514</v>
      </c>
      <c r="D149" s="158"/>
      <c r="E149" s="158"/>
      <c r="F149" s="158"/>
      <c r="G149" s="158"/>
      <c r="H149" s="143" t="s">
        <v>543</v>
      </c>
      <c r="I149" s="495" t="s">
        <v>84</v>
      </c>
      <c r="J149" s="495" t="str">
        <f t="shared" si="61"/>
        <v>Add-On</v>
      </c>
      <c r="K149" s="495" t="str">
        <f t="shared" si="61"/>
        <v>Add-On</v>
      </c>
      <c r="L149" s="495" t="str">
        <f t="shared" si="61"/>
        <v>Add-On</v>
      </c>
      <c r="M149" s="495" t="str">
        <f t="shared" si="61"/>
        <v>Add-On</v>
      </c>
      <c r="N149" s="495" t="str">
        <f t="shared" si="61"/>
        <v>Add-On</v>
      </c>
      <c r="O149" s="495" t="str">
        <f t="shared" si="61"/>
        <v>Add-On</v>
      </c>
      <c r="P149" s="495" t="str">
        <f t="shared" si="61"/>
        <v>Add-On</v>
      </c>
      <c r="Q149" s="495" t="str">
        <f t="shared" si="61"/>
        <v>Add-On</v>
      </c>
      <c r="R149" s="495" t="str">
        <f t="shared" si="61"/>
        <v>Add-On</v>
      </c>
      <c r="S149" s="495" t="str">
        <f t="shared" si="61"/>
        <v>Add-On</v>
      </c>
      <c r="T149" s="495" t="str">
        <f t="shared" si="61"/>
        <v>Add-On</v>
      </c>
      <c r="U149" s="486"/>
      <c r="V149" s="261">
        <f t="shared" si="60"/>
        <v>0</v>
      </c>
      <c r="W149" s="144"/>
      <c r="X149" s="145" t="s">
        <v>540</v>
      </c>
      <c r="Y149" s="99"/>
      <c r="Z149" s="419" t="s">
        <v>2</v>
      </c>
      <c r="AA149" s="644">
        <f>D149</f>
        <v>0</v>
      </c>
      <c r="AB149" s="546" t="e">
        <f>V149/W149</f>
        <v>#DIV/0!</v>
      </c>
      <c r="AC149" s="99"/>
      <c r="AD149" s="99"/>
      <c r="AE149" s="99"/>
      <c r="AF149" s="99"/>
      <c r="AG149" s="99"/>
      <c r="AH149" s="100"/>
      <c r="AI149" s="100"/>
      <c r="AJ149" s="99"/>
      <c r="AK149" s="100"/>
      <c r="AL149" s="100"/>
      <c r="AM149" s="99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</row>
    <row r="150" spans="1:52" s="40" customFormat="1" ht="18" hidden="1" outlineLevel="1" x14ac:dyDescent="0.3">
      <c r="A150" s="96"/>
      <c r="B150" s="614"/>
      <c r="C150" s="142" t="s">
        <v>515</v>
      </c>
      <c r="D150" s="158"/>
      <c r="E150" s="158"/>
      <c r="F150" s="158"/>
      <c r="G150" s="158"/>
      <c r="H150" s="143" t="s">
        <v>543</v>
      </c>
      <c r="I150" s="495" t="s">
        <v>84</v>
      </c>
      <c r="J150" s="495" t="str">
        <f t="shared" si="61"/>
        <v>Add-On</v>
      </c>
      <c r="K150" s="495" t="str">
        <f t="shared" si="61"/>
        <v>Add-On</v>
      </c>
      <c r="L150" s="495" t="str">
        <f t="shared" si="61"/>
        <v>Add-On</v>
      </c>
      <c r="M150" s="495" t="str">
        <f t="shared" si="61"/>
        <v>Add-On</v>
      </c>
      <c r="N150" s="495" t="str">
        <f t="shared" si="61"/>
        <v>Add-On</v>
      </c>
      <c r="O150" s="495" t="str">
        <f t="shared" si="61"/>
        <v>Add-On</v>
      </c>
      <c r="P150" s="495" t="str">
        <f t="shared" si="61"/>
        <v>Add-On</v>
      </c>
      <c r="Q150" s="495" t="str">
        <f t="shared" si="61"/>
        <v>Add-On</v>
      </c>
      <c r="R150" s="495" t="str">
        <f t="shared" si="61"/>
        <v>Add-On</v>
      </c>
      <c r="S150" s="495" t="str">
        <f t="shared" si="61"/>
        <v>Add-On</v>
      </c>
      <c r="T150" s="495" t="str">
        <f t="shared" si="61"/>
        <v>Add-On</v>
      </c>
      <c r="U150" s="486"/>
      <c r="V150" s="261">
        <f t="shared" si="60"/>
        <v>0</v>
      </c>
      <c r="W150" s="144"/>
      <c r="X150" s="145" t="s">
        <v>540</v>
      </c>
      <c r="Y150" s="99"/>
      <c r="Z150" s="419" t="s">
        <v>2</v>
      </c>
      <c r="AA150" s="644">
        <f>D150</f>
        <v>0</v>
      </c>
      <c r="AB150" s="546" t="e">
        <f>V150/W150</f>
        <v>#DIV/0!</v>
      </c>
      <c r="AC150" s="99"/>
      <c r="AD150" s="99"/>
      <c r="AE150" s="99"/>
      <c r="AF150" s="99"/>
      <c r="AG150" s="99"/>
      <c r="AH150" s="100"/>
      <c r="AI150" s="100"/>
      <c r="AJ150" s="99"/>
      <c r="AK150" s="100"/>
      <c r="AL150" s="100"/>
      <c r="AM150" s="99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</row>
    <row r="151" spans="1:52" s="40" customFormat="1" ht="18" hidden="1" outlineLevel="1" x14ac:dyDescent="0.3">
      <c r="A151" s="96"/>
      <c r="B151" s="614"/>
      <c r="C151" s="142" t="s">
        <v>516</v>
      </c>
      <c r="D151" s="158"/>
      <c r="E151" s="158"/>
      <c r="F151" s="158"/>
      <c r="G151" s="158"/>
      <c r="H151" s="143" t="s">
        <v>543</v>
      </c>
      <c r="I151" s="495" t="s">
        <v>84</v>
      </c>
      <c r="J151" s="495" t="str">
        <f t="shared" si="61"/>
        <v>Add-On</v>
      </c>
      <c r="K151" s="495" t="str">
        <f t="shared" si="61"/>
        <v>Add-On</v>
      </c>
      <c r="L151" s="495" t="str">
        <f t="shared" si="61"/>
        <v>Add-On</v>
      </c>
      <c r="M151" s="495" t="str">
        <f t="shared" si="61"/>
        <v>Add-On</v>
      </c>
      <c r="N151" s="495" t="str">
        <f t="shared" si="61"/>
        <v>Add-On</v>
      </c>
      <c r="O151" s="495" t="str">
        <f t="shared" si="61"/>
        <v>Add-On</v>
      </c>
      <c r="P151" s="495" t="str">
        <f t="shared" si="61"/>
        <v>Add-On</v>
      </c>
      <c r="Q151" s="495" t="str">
        <f t="shared" si="61"/>
        <v>Add-On</v>
      </c>
      <c r="R151" s="495" t="str">
        <f t="shared" si="61"/>
        <v>Add-On</v>
      </c>
      <c r="S151" s="495" t="str">
        <f t="shared" si="61"/>
        <v>Add-On</v>
      </c>
      <c r="T151" s="495" t="str">
        <f t="shared" si="61"/>
        <v>Add-On</v>
      </c>
      <c r="U151" s="486"/>
      <c r="V151" s="261">
        <f t="shared" si="60"/>
        <v>0</v>
      </c>
      <c r="W151" s="144"/>
      <c r="X151" s="145" t="s">
        <v>540</v>
      </c>
      <c r="Y151" s="99"/>
      <c r="Z151" s="419" t="s">
        <v>2</v>
      </c>
      <c r="AA151" s="644">
        <f>D151</f>
        <v>0</v>
      </c>
      <c r="AB151" s="546" t="e">
        <f>V151/W151</f>
        <v>#DIV/0!</v>
      </c>
      <c r="AC151" s="99"/>
      <c r="AD151" s="99"/>
      <c r="AE151" s="99"/>
      <c r="AF151" s="99"/>
      <c r="AG151" s="99"/>
      <c r="AH151" s="100"/>
      <c r="AI151" s="100"/>
      <c r="AJ151" s="99"/>
      <c r="AK151" s="100"/>
      <c r="AL151" s="100"/>
      <c r="AM151" s="99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</row>
    <row r="152" spans="1:52" s="40" customFormat="1" ht="18" hidden="1" outlineLevel="1" x14ac:dyDescent="0.3">
      <c r="A152" s="96"/>
      <c r="B152" s="614"/>
      <c r="C152" s="142" t="s">
        <v>495</v>
      </c>
      <c r="D152" s="158"/>
      <c r="E152" s="158"/>
      <c r="F152" s="158"/>
      <c r="G152" s="158"/>
      <c r="H152" s="143" t="s">
        <v>543</v>
      </c>
      <c r="I152" s="495" t="s">
        <v>84</v>
      </c>
      <c r="J152" s="495" t="str">
        <f t="shared" si="61"/>
        <v>Add-On</v>
      </c>
      <c r="K152" s="495" t="str">
        <f t="shared" si="61"/>
        <v>Add-On</v>
      </c>
      <c r="L152" s="495" t="str">
        <f t="shared" si="61"/>
        <v>Add-On</v>
      </c>
      <c r="M152" s="495" t="str">
        <f t="shared" si="61"/>
        <v>Add-On</v>
      </c>
      <c r="N152" s="495" t="str">
        <f t="shared" si="61"/>
        <v>Add-On</v>
      </c>
      <c r="O152" s="495" t="str">
        <f t="shared" si="61"/>
        <v>Add-On</v>
      </c>
      <c r="P152" s="495" t="str">
        <f t="shared" si="61"/>
        <v>Add-On</v>
      </c>
      <c r="Q152" s="495" t="str">
        <f t="shared" si="61"/>
        <v>Add-On</v>
      </c>
      <c r="R152" s="495" t="str">
        <f t="shared" si="61"/>
        <v>Add-On</v>
      </c>
      <c r="S152" s="495" t="str">
        <f t="shared" si="61"/>
        <v>Add-On</v>
      </c>
      <c r="T152" s="495" t="str">
        <f t="shared" si="61"/>
        <v>Add-On</v>
      </c>
      <c r="U152" s="486"/>
      <c r="V152" s="261">
        <f t="shared" si="60"/>
        <v>0</v>
      </c>
      <c r="W152" s="144"/>
      <c r="X152" s="145" t="s">
        <v>540</v>
      </c>
      <c r="Y152" s="99"/>
      <c r="Z152" s="419" t="s">
        <v>2</v>
      </c>
      <c r="AA152" s="644">
        <f>D152</f>
        <v>0</v>
      </c>
      <c r="AB152" s="546" t="e">
        <f>V152/W152</f>
        <v>#DIV/0!</v>
      </c>
      <c r="AC152" s="99"/>
      <c r="AD152" s="99"/>
      <c r="AE152" s="99"/>
      <c r="AF152" s="99"/>
      <c r="AG152" s="99"/>
      <c r="AH152" s="100"/>
      <c r="AI152" s="100"/>
      <c r="AJ152" s="99"/>
      <c r="AK152" s="100"/>
      <c r="AL152" s="100"/>
      <c r="AM152" s="99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</row>
    <row r="153" spans="1:52" s="40" customFormat="1" ht="18" hidden="1" outlineLevel="1" x14ac:dyDescent="0.3">
      <c r="A153" s="96"/>
      <c r="B153" s="614"/>
      <c r="C153" s="142" t="s">
        <v>496</v>
      </c>
      <c r="D153" s="158"/>
      <c r="E153" s="158"/>
      <c r="F153" s="158"/>
      <c r="G153" s="158"/>
      <c r="H153" s="143" t="s">
        <v>543</v>
      </c>
      <c r="I153" s="495" t="s">
        <v>84</v>
      </c>
      <c r="J153" s="495" t="str">
        <f t="shared" si="61"/>
        <v>Add-On</v>
      </c>
      <c r="K153" s="495" t="str">
        <f t="shared" si="61"/>
        <v>Add-On</v>
      </c>
      <c r="L153" s="495" t="str">
        <f t="shared" si="61"/>
        <v>Add-On</v>
      </c>
      <c r="M153" s="495" t="str">
        <f t="shared" si="61"/>
        <v>Add-On</v>
      </c>
      <c r="N153" s="495" t="str">
        <f t="shared" si="61"/>
        <v>Add-On</v>
      </c>
      <c r="O153" s="495" t="str">
        <f t="shared" si="61"/>
        <v>Add-On</v>
      </c>
      <c r="P153" s="495" t="str">
        <f t="shared" si="61"/>
        <v>Add-On</v>
      </c>
      <c r="Q153" s="495" t="str">
        <f t="shared" si="61"/>
        <v>Add-On</v>
      </c>
      <c r="R153" s="495" t="str">
        <f t="shared" si="61"/>
        <v>Add-On</v>
      </c>
      <c r="S153" s="495" t="str">
        <f t="shared" si="61"/>
        <v>Add-On</v>
      </c>
      <c r="T153" s="495" t="str">
        <f t="shared" si="61"/>
        <v>Add-On</v>
      </c>
      <c r="U153" s="486"/>
      <c r="V153" s="261">
        <f t="shared" si="60"/>
        <v>0</v>
      </c>
      <c r="W153" s="144"/>
      <c r="X153" s="145" t="s">
        <v>540</v>
      </c>
      <c r="Y153" s="99"/>
      <c r="Z153" s="419" t="s">
        <v>2</v>
      </c>
      <c r="AA153" s="644">
        <f>D153</f>
        <v>0</v>
      </c>
      <c r="AB153" s="546" t="e">
        <f>V153/W153</f>
        <v>#DIV/0!</v>
      </c>
      <c r="AC153" s="99"/>
      <c r="AD153" s="99"/>
      <c r="AE153" s="99"/>
      <c r="AF153" s="99"/>
      <c r="AG153" s="99"/>
      <c r="AH153" s="100"/>
      <c r="AI153" s="100"/>
      <c r="AJ153" s="99"/>
      <c r="AK153" s="100"/>
      <c r="AL153" s="100"/>
      <c r="AM153" s="99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</row>
    <row r="154" spans="1:52" s="40" customFormat="1" ht="18" hidden="1" outlineLevel="1" x14ac:dyDescent="0.3">
      <c r="A154" s="96"/>
      <c r="B154" s="614"/>
      <c r="C154" s="142" t="s">
        <v>517</v>
      </c>
      <c r="D154" s="158"/>
      <c r="E154" s="158"/>
      <c r="F154" s="158"/>
      <c r="G154" s="158"/>
      <c r="H154" s="143" t="s">
        <v>543</v>
      </c>
      <c r="I154" s="495" t="s">
        <v>84</v>
      </c>
      <c r="J154" s="495" t="str">
        <f t="shared" si="61"/>
        <v>Add-On</v>
      </c>
      <c r="K154" s="495" t="str">
        <f t="shared" si="61"/>
        <v>Add-On</v>
      </c>
      <c r="L154" s="495" t="str">
        <f t="shared" si="61"/>
        <v>Add-On</v>
      </c>
      <c r="M154" s="495" t="str">
        <f t="shared" si="61"/>
        <v>Add-On</v>
      </c>
      <c r="N154" s="495" t="str">
        <f t="shared" si="61"/>
        <v>Add-On</v>
      </c>
      <c r="O154" s="495" t="str">
        <f t="shared" si="61"/>
        <v>Add-On</v>
      </c>
      <c r="P154" s="495" t="str">
        <f t="shared" si="61"/>
        <v>Add-On</v>
      </c>
      <c r="Q154" s="495" t="str">
        <f t="shared" si="61"/>
        <v>Add-On</v>
      </c>
      <c r="R154" s="495" t="str">
        <f t="shared" si="61"/>
        <v>Add-On</v>
      </c>
      <c r="S154" s="495" t="str">
        <f t="shared" si="61"/>
        <v>Add-On</v>
      </c>
      <c r="T154" s="495" t="str">
        <f t="shared" si="61"/>
        <v>Add-On</v>
      </c>
      <c r="U154" s="486"/>
      <c r="V154" s="261">
        <f t="shared" si="60"/>
        <v>0</v>
      </c>
      <c r="W154" s="144"/>
      <c r="X154" s="145" t="s">
        <v>540</v>
      </c>
      <c r="Y154" s="99"/>
      <c r="Z154" s="419"/>
      <c r="AA154" s="644"/>
      <c r="AB154" s="546"/>
      <c r="AC154" s="99"/>
      <c r="AD154" s="99"/>
      <c r="AE154" s="99"/>
      <c r="AF154" s="99"/>
      <c r="AG154" s="99"/>
      <c r="AH154" s="100"/>
      <c r="AI154" s="100"/>
      <c r="AJ154" s="99"/>
      <c r="AK154" s="100"/>
      <c r="AL154" s="100"/>
      <c r="AM154" s="99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</row>
    <row r="155" spans="1:52" s="40" customFormat="1" ht="18.75" hidden="1" outlineLevel="1" thickBot="1" x14ac:dyDescent="0.35">
      <c r="A155" s="96"/>
      <c r="B155" s="615"/>
      <c r="C155" s="142" t="s">
        <v>470</v>
      </c>
      <c r="D155" s="158"/>
      <c r="E155" s="158"/>
      <c r="F155" s="158"/>
      <c r="G155" s="158"/>
      <c r="H155" s="143" t="s">
        <v>543</v>
      </c>
      <c r="I155" s="495" t="s">
        <v>84</v>
      </c>
      <c r="J155" s="495" t="str">
        <f t="shared" si="61"/>
        <v>Add-On</v>
      </c>
      <c r="K155" s="495" t="str">
        <f t="shared" si="61"/>
        <v>Add-On</v>
      </c>
      <c r="L155" s="495" t="str">
        <f t="shared" si="61"/>
        <v>Add-On</v>
      </c>
      <c r="M155" s="495" t="str">
        <f t="shared" si="61"/>
        <v>Add-On</v>
      </c>
      <c r="N155" s="495" t="str">
        <f t="shared" si="61"/>
        <v>Add-On</v>
      </c>
      <c r="O155" s="495" t="str">
        <f t="shared" si="61"/>
        <v>Add-On</v>
      </c>
      <c r="P155" s="495" t="str">
        <f t="shared" si="61"/>
        <v>Add-On</v>
      </c>
      <c r="Q155" s="495" t="str">
        <f t="shared" si="61"/>
        <v>Add-On</v>
      </c>
      <c r="R155" s="495" t="str">
        <f t="shared" si="61"/>
        <v>Add-On</v>
      </c>
      <c r="S155" s="495" t="str">
        <f t="shared" si="61"/>
        <v>Add-On</v>
      </c>
      <c r="T155" s="495" t="str">
        <f t="shared" si="61"/>
        <v>Add-On</v>
      </c>
      <c r="U155" s="486"/>
      <c r="V155" s="261">
        <f t="shared" si="60"/>
        <v>0</v>
      </c>
      <c r="W155" s="144"/>
      <c r="X155" s="179" t="s">
        <v>540</v>
      </c>
      <c r="Y155" s="99"/>
      <c r="Z155" s="419"/>
      <c r="AA155" s="644"/>
      <c r="AB155" s="546"/>
      <c r="AC155" s="99"/>
      <c r="AD155" s="99"/>
      <c r="AE155" s="99"/>
      <c r="AF155" s="99"/>
      <c r="AG155" s="99"/>
      <c r="AH155" s="100"/>
      <c r="AI155" s="100"/>
      <c r="AJ155" s="99"/>
      <c r="AK155" s="100"/>
      <c r="AL155" s="100"/>
      <c r="AM155" s="99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</row>
    <row r="156" spans="1:52" s="1" customFormat="1" ht="15.75" collapsed="1" thickBot="1" x14ac:dyDescent="0.35">
      <c r="A156" s="100"/>
      <c r="B156" s="597" t="s">
        <v>87</v>
      </c>
      <c r="C156" s="598" t="s">
        <v>359</v>
      </c>
      <c r="D156" s="599" t="str">
        <f>SUMIF($B$8:$B$155,"x",AA$8:AA$155)&amp;"+X"</f>
        <v>0+X</v>
      </c>
      <c r="E156" s="599">
        <f>SUMIF($B$8:$B$155,"x",E$8:E$155)</f>
        <v>0</v>
      </c>
      <c r="F156" s="599">
        <f>SUMIF($B$8:$B$155,"x",F$8:F$155)</f>
        <v>0</v>
      </c>
      <c r="G156" s="599" t="str">
        <f>SUMIF($B$8:$B$155,"x",G$8:G$155)&amp;IF($B$48="X","+X",)</f>
        <v>0</v>
      </c>
      <c r="H156" s="600"/>
      <c r="I156" s="601">
        <f t="shared" ref="I156:T156" si="62">SUMIF(I$8:I$155,"µ",$W$8:$W$155)</f>
        <v>0</v>
      </c>
      <c r="J156" s="601">
        <f t="shared" si="62"/>
        <v>0</v>
      </c>
      <c r="K156" s="601">
        <f t="shared" si="62"/>
        <v>44.95</v>
      </c>
      <c r="L156" s="601">
        <f t="shared" si="62"/>
        <v>69.95</v>
      </c>
      <c r="M156" s="601">
        <f t="shared" si="62"/>
        <v>84.850000000000009</v>
      </c>
      <c r="N156" s="601">
        <f t="shared" si="62"/>
        <v>0</v>
      </c>
      <c r="O156" s="601">
        <f t="shared" si="62"/>
        <v>94.850000000000009</v>
      </c>
      <c r="P156" s="601">
        <f t="shared" si="62"/>
        <v>119.85000000000001</v>
      </c>
      <c r="Q156" s="601">
        <f t="shared" si="62"/>
        <v>0</v>
      </c>
      <c r="R156" s="601">
        <f t="shared" si="62"/>
        <v>219.54999999999995</v>
      </c>
      <c r="S156" s="601">
        <f t="shared" si="62"/>
        <v>244.54999999999995</v>
      </c>
      <c r="T156" s="602">
        <f t="shared" si="62"/>
        <v>329.39999999999992</v>
      </c>
      <c r="U156" s="603">
        <f>SUM(U8:U155)</f>
        <v>302.75999999999993</v>
      </c>
      <c r="V156" s="603">
        <f>SUM(V8:V155)</f>
        <v>629.25000000000011</v>
      </c>
      <c r="W156" s="604">
        <f>SUM(W8:W155)</f>
        <v>329.39999999999992</v>
      </c>
      <c r="X156" s="100"/>
      <c r="Y156" s="99"/>
      <c r="Z156" s="369"/>
      <c r="AA156" s="644" t="str">
        <f t="shared" si="30"/>
        <v>0+X</v>
      </c>
      <c r="AB156" s="546">
        <f t="shared" si="29"/>
        <v>1.9102914389799643</v>
      </c>
      <c r="AC156" s="99"/>
      <c r="AD156" s="99"/>
      <c r="AE156" s="99"/>
      <c r="AF156" s="99"/>
      <c r="AG156" s="99"/>
      <c r="AH156" s="100"/>
      <c r="AI156" s="100"/>
      <c r="AJ156" s="99"/>
      <c r="AK156" s="100"/>
      <c r="AL156" s="100"/>
      <c r="AM156" s="99"/>
      <c r="AN156" s="100"/>
      <c r="AO156" s="100"/>
      <c r="AP156" s="100"/>
      <c r="AQ156" s="100"/>
      <c r="AR156" s="100"/>
      <c r="AS156" s="100"/>
      <c r="AT156" s="100"/>
      <c r="AU156" s="100"/>
      <c r="AV156" s="100"/>
      <c r="AW156" s="100"/>
      <c r="AX156" s="100"/>
      <c r="AY156" s="100"/>
      <c r="AZ156" s="100"/>
    </row>
    <row r="157" spans="1:52" s="2" customFormat="1" ht="15.75" thickBot="1" x14ac:dyDescent="0.35">
      <c r="A157" s="95"/>
      <c r="B157" s="106"/>
      <c r="C157" s="95"/>
      <c r="D157" s="111"/>
      <c r="E157" s="111"/>
      <c r="F157" s="111"/>
      <c r="G157" s="111"/>
      <c r="H157" s="95"/>
      <c r="I157" s="485"/>
      <c r="J157" s="485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9"/>
      <c r="V157" s="107"/>
      <c r="W157" s="108"/>
      <c r="X157" s="113"/>
      <c r="Y157" s="99"/>
      <c r="Z157" s="369"/>
      <c r="AA157" s="648"/>
      <c r="AB157" s="369"/>
      <c r="AC157" s="99"/>
      <c r="AD157" s="99"/>
      <c r="AE157" s="99"/>
      <c r="AF157" s="99"/>
      <c r="AG157" s="99"/>
      <c r="AH157" s="100"/>
      <c r="AI157" s="100"/>
      <c r="AJ157" s="99"/>
      <c r="AK157" s="100"/>
      <c r="AL157" s="100"/>
      <c r="AM157" s="99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</row>
    <row r="158" spans="1:52" s="40" customFormat="1" ht="45" x14ac:dyDescent="0.3">
      <c r="A158" s="96"/>
      <c r="B158" s="670" t="s">
        <v>86</v>
      </c>
      <c r="C158" s="138" t="s">
        <v>85</v>
      </c>
      <c r="D158" s="138"/>
      <c r="E158" s="138"/>
      <c r="F158" s="138"/>
      <c r="G158" s="138"/>
      <c r="H158" s="139" t="s">
        <v>1</v>
      </c>
      <c r="I158" s="496" t="s">
        <v>120</v>
      </c>
      <c r="J158" s="496" t="str">
        <f t="shared" ref="J158:T158" si="63">J3</f>
        <v>Kein Paket (Einzelkauf)</v>
      </c>
      <c r="K158" s="129" t="str">
        <f t="shared" si="63"/>
        <v>Regional-spielhilfe</v>
      </c>
      <c r="L158" s="130" t="str">
        <f t="shared" si="63"/>
        <v>Regional-spielhilfe Deluxe</v>
      </c>
      <c r="M158" s="129" t="str">
        <f t="shared" si="63"/>
        <v>Bundle regelfrei</v>
      </c>
      <c r="N158" s="129" t="str">
        <f t="shared" si="63"/>
        <v>Digitales Bundle</v>
      </c>
      <c r="O158" s="130" t="str">
        <f t="shared" si="63"/>
        <v>Haupt-bände</v>
      </c>
      <c r="P158" s="130" t="str">
        <f t="shared" si="63"/>
        <v>Haupt-bände Deluxe</v>
      </c>
      <c r="Q158" s="129">
        <f t="shared" si="63"/>
        <v>0</v>
      </c>
      <c r="R158" s="131" t="str">
        <f t="shared" si="63"/>
        <v>Spiel-material Bundle</v>
      </c>
      <c r="S158" s="131" t="str">
        <f t="shared" si="63"/>
        <v>Spiel-material Bun. Deluxe</v>
      </c>
      <c r="T158" s="131" t="str">
        <f t="shared" si="63"/>
        <v>All-In</v>
      </c>
      <c r="U158" s="482" t="s">
        <v>8</v>
      </c>
      <c r="V158" s="262" t="s">
        <v>8</v>
      </c>
      <c r="W158" s="127" t="s">
        <v>76</v>
      </c>
      <c r="X158" s="140" t="s">
        <v>44</v>
      </c>
      <c r="Y158" s="99"/>
      <c r="Z158" s="419" t="s">
        <v>2</v>
      </c>
      <c r="AA158" s="648"/>
      <c r="AB158" s="369"/>
      <c r="AC158" s="99"/>
      <c r="AD158" s="99"/>
      <c r="AE158" s="99"/>
      <c r="AF158" s="99"/>
      <c r="AG158" s="99"/>
      <c r="AH158" s="100"/>
      <c r="AI158" s="100"/>
      <c r="AJ158" s="99"/>
      <c r="AK158" s="100"/>
      <c r="AL158" s="100"/>
      <c r="AM158" s="99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</row>
    <row r="159" spans="1:52" s="45" customFormat="1" ht="18.75" hidden="1" customHeight="1" outlineLevel="1" x14ac:dyDescent="0.3">
      <c r="A159" s="98"/>
      <c r="B159" s="669"/>
      <c r="C159" s="226" t="s">
        <v>295</v>
      </c>
      <c r="D159" s="361"/>
      <c r="E159" s="361"/>
      <c r="F159" s="361"/>
      <c r="G159" s="361"/>
      <c r="H159" s="362" t="s">
        <v>296</v>
      </c>
      <c r="I159" s="497" t="s">
        <v>256</v>
      </c>
      <c r="J159" s="498" t="s">
        <v>364</v>
      </c>
      <c r="K159" s="363" t="s">
        <v>364</v>
      </c>
      <c r="L159" s="363" t="s">
        <v>364</v>
      </c>
      <c r="M159" s="363" t="s">
        <v>364</v>
      </c>
      <c r="N159" s="363" t="s">
        <v>364</v>
      </c>
      <c r="O159" s="363"/>
      <c r="P159" s="363"/>
      <c r="Q159" s="364"/>
      <c r="R159" s="365"/>
      <c r="S159" s="363"/>
      <c r="T159" s="363" t="s">
        <v>364</v>
      </c>
      <c r="U159" s="483"/>
      <c r="V159" s="366"/>
      <c r="W159" s="368"/>
      <c r="X159" s="367" t="s">
        <v>365</v>
      </c>
      <c r="Y159" s="99"/>
      <c r="Z159" s="419" t="s">
        <v>2</v>
      </c>
      <c r="AA159" s="648"/>
      <c r="AB159" s="369"/>
      <c r="AC159" s="99"/>
      <c r="AD159" s="99"/>
      <c r="AE159" s="99"/>
      <c r="AF159" s="99"/>
      <c r="AG159" s="99"/>
      <c r="AH159" s="100"/>
      <c r="AI159" s="100"/>
      <c r="AJ159" s="99"/>
      <c r="AK159" s="100"/>
      <c r="AL159" s="100"/>
      <c r="AM159" s="99"/>
      <c r="AN159" s="98"/>
      <c r="AO159" s="98"/>
      <c r="AP159" s="98"/>
      <c r="AQ159" s="98"/>
      <c r="AR159" s="98"/>
      <c r="AS159" s="98"/>
      <c r="AT159" s="98"/>
      <c r="AU159" s="98"/>
      <c r="AV159" s="98"/>
      <c r="AW159" s="98"/>
      <c r="AX159" s="98"/>
      <c r="AY159" s="98"/>
      <c r="AZ159" s="98"/>
    </row>
    <row r="160" spans="1:52" ht="18" collapsed="1" x14ac:dyDescent="0.3">
      <c r="B160" s="612"/>
      <c r="C160" s="477" t="s">
        <v>618</v>
      </c>
      <c r="D160" s="154"/>
      <c r="E160" s="154"/>
      <c r="F160" s="154"/>
      <c r="G160" s="154"/>
      <c r="H160" s="44" t="s">
        <v>67</v>
      </c>
      <c r="I160" s="492" t="s">
        <v>84</v>
      </c>
      <c r="J160" s="492" t="str">
        <f>IF(OR($B8="x",$B10="x"),"enthalten","Add-On")</f>
        <v>Add-On</v>
      </c>
      <c r="K160" s="94" t="s">
        <v>2</v>
      </c>
      <c r="L160" s="94" t="s">
        <v>2</v>
      </c>
      <c r="M160" s="94" t="s">
        <v>2</v>
      </c>
      <c r="N160" s="94" t="s">
        <v>2</v>
      </c>
      <c r="O160" s="94" t="s">
        <v>2</v>
      </c>
      <c r="P160" s="94" t="s">
        <v>2</v>
      </c>
      <c r="Q160" s="94"/>
      <c r="R160" s="94" t="s">
        <v>2</v>
      </c>
      <c r="S160" s="94" t="s">
        <v>2</v>
      </c>
      <c r="T160" s="94" t="s">
        <v>2</v>
      </c>
      <c r="U160" s="260">
        <v>25.23</v>
      </c>
      <c r="V160" s="708">
        <f t="shared" ref="V160:V168" si="64">ROUND(U160*(1+$W$6),2)</f>
        <v>27</v>
      </c>
      <c r="W160" s="46">
        <v>26.99</v>
      </c>
      <c r="X160" s="668"/>
      <c r="Z160" s="419" t="s">
        <v>2</v>
      </c>
      <c r="AA160" s="648">
        <f>V160/V8</f>
        <v>0.6</v>
      </c>
      <c r="AB160" s="370">
        <f>W160/W8</f>
        <v>0.6004449388209121</v>
      </c>
      <c r="AG160" s="99"/>
      <c r="AH160" s="100"/>
      <c r="AI160" s="100"/>
      <c r="AJ160" s="99"/>
      <c r="AK160" s="100"/>
      <c r="AL160" s="100"/>
      <c r="AM160" s="99"/>
    </row>
    <row r="161" spans="1:52" ht="18" x14ac:dyDescent="0.3">
      <c r="B161" s="612"/>
      <c r="C161" s="477" t="s">
        <v>619</v>
      </c>
      <c r="D161" s="154"/>
      <c r="E161" s="154"/>
      <c r="F161" s="154"/>
      <c r="G161" s="154"/>
      <c r="H161" s="44" t="s">
        <v>67</v>
      </c>
      <c r="I161" s="492" t="s">
        <v>84</v>
      </c>
      <c r="J161" s="492" t="str">
        <f t="shared" ref="J161:M162" si="65">IF($B12="x","enthalten","Add-On")</f>
        <v>Add-On</v>
      </c>
      <c r="K161" s="707" t="str">
        <f t="shared" si="65"/>
        <v>Add-On</v>
      </c>
      <c r="L161" s="492" t="str">
        <f t="shared" si="65"/>
        <v>Add-On</v>
      </c>
      <c r="M161" s="492" t="str">
        <f t="shared" si="65"/>
        <v>Add-On</v>
      </c>
      <c r="N161" s="94" t="s">
        <v>2</v>
      </c>
      <c r="O161" s="94" t="s">
        <v>2</v>
      </c>
      <c r="P161" s="94" t="s">
        <v>2</v>
      </c>
      <c r="Q161" s="492"/>
      <c r="R161" s="94" t="s">
        <v>2</v>
      </c>
      <c r="S161" s="94" t="s">
        <v>2</v>
      </c>
      <c r="T161" s="94" t="s">
        <v>2</v>
      </c>
      <c r="U161" s="260">
        <v>16.82</v>
      </c>
      <c r="V161" s="708">
        <f t="shared" si="64"/>
        <v>18</v>
      </c>
      <c r="W161" s="46">
        <v>17.989999999999998</v>
      </c>
      <c r="X161" s="668"/>
      <c r="Z161" s="419"/>
      <c r="AA161" s="648"/>
      <c r="AB161" s="370"/>
      <c r="AG161" s="99"/>
      <c r="AH161" s="100"/>
      <c r="AI161" s="100"/>
      <c r="AJ161" s="99"/>
      <c r="AK161" s="100"/>
      <c r="AL161" s="100"/>
      <c r="AM161" s="99"/>
    </row>
    <row r="162" spans="1:52" ht="18" x14ac:dyDescent="0.3">
      <c r="B162" s="612"/>
      <c r="C162" s="477" t="s">
        <v>620</v>
      </c>
      <c r="D162" s="154"/>
      <c r="E162" s="154"/>
      <c r="F162" s="154"/>
      <c r="G162" s="154"/>
      <c r="H162" s="44" t="s">
        <v>67</v>
      </c>
      <c r="I162" s="492" t="s">
        <v>84</v>
      </c>
      <c r="J162" s="492" t="str">
        <f t="shared" si="65"/>
        <v>Add-On</v>
      </c>
      <c r="K162" s="707" t="str">
        <f t="shared" si="65"/>
        <v>Add-On</v>
      </c>
      <c r="L162" s="492" t="str">
        <f t="shared" si="65"/>
        <v>Add-On</v>
      </c>
      <c r="M162" s="492" t="str">
        <f t="shared" si="65"/>
        <v>Add-On</v>
      </c>
      <c r="N162" s="94" t="s">
        <v>2</v>
      </c>
      <c r="O162" s="94" t="s">
        <v>2</v>
      </c>
      <c r="P162" s="94" t="s">
        <v>2</v>
      </c>
      <c r="Q162" s="492"/>
      <c r="R162" s="94" t="s">
        <v>2</v>
      </c>
      <c r="S162" s="94" t="s">
        <v>2</v>
      </c>
      <c r="T162" s="94" t="s">
        <v>2</v>
      </c>
      <c r="U162" s="260">
        <v>11.21</v>
      </c>
      <c r="V162" s="708">
        <f t="shared" si="64"/>
        <v>11.99</v>
      </c>
      <c r="W162" s="46">
        <v>11.99</v>
      </c>
      <c r="X162" s="668"/>
      <c r="Z162" s="419"/>
      <c r="AA162" s="648"/>
      <c r="AB162" s="370"/>
      <c r="AG162" s="99"/>
      <c r="AH162" s="100"/>
      <c r="AI162" s="100"/>
      <c r="AJ162" s="99"/>
      <c r="AK162" s="100"/>
      <c r="AL162" s="100"/>
      <c r="AM162" s="99"/>
    </row>
    <row r="163" spans="1:52" ht="18" x14ac:dyDescent="0.3">
      <c r="B163" s="612"/>
      <c r="C163" s="477" t="s">
        <v>621</v>
      </c>
      <c r="D163" s="154"/>
      <c r="E163" s="154"/>
      <c r="F163" s="154"/>
      <c r="G163" s="154"/>
      <c r="H163" s="44" t="s">
        <v>67</v>
      </c>
      <c r="I163" s="492" t="s">
        <v>84</v>
      </c>
      <c r="J163" s="492" t="str">
        <f>IF($B17="x","enthalten","Add-On")</f>
        <v>Add-On</v>
      </c>
      <c r="K163" s="707" t="str">
        <f>IF($B17="x","enthalten","Add-On")</f>
        <v>Add-On</v>
      </c>
      <c r="L163" s="492" t="str">
        <f>IF($B17="x","enthalten","Add-On")</f>
        <v>Add-On</v>
      </c>
      <c r="M163" s="94" t="s">
        <v>2</v>
      </c>
      <c r="N163" s="94" t="s">
        <v>2</v>
      </c>
      <c r="O163" s="94" t="s">
        <v>2</v>
      </c>
      <c r="P163" s="94" t="s">
        <v>2</v>
      </c>
      <c r="Q163" s="492"/>
      <c r="R163" s="94" t="s">
        <v>2</v>
      </c>
      <c r="S163" s="94" t="s">
        <v>2</v>
      </c>
      <c r="T163" s="94" t="s">
        <v>2</v>
      </c>
      <c r="U163" s="260">
        <v>25.23</v>
      </c>
      <c r="V163" s="708">
        <f t="shared" si="64"/>
        <v>27</v>
      </c>
      <c r="W163" s="46">
        <v>26.99</v>
      </c>
      <c r="X163" s="668"/>
      <c r="Z163" s="419"/>
      <c r="AA163" s="648"/>
      <c r="AB163" s="370"/>
      <c r="AG163" s="99"/>
      <c r="AH163" s="100"/>
      <c r="AI163" s="100"/>
      <c r="AJ163" s="99"/>
      <c r="AK163" s="100"/>
      <c r="AL163" s="100"/>
      <c r="AM163" s="99"/>
    </row>
    <row r="164" spans="1:52" s="49" customFormat="1" ht="18" customHeight="1" x14ac:dyDescent="0.3">
      <c r="A164" s="99"/>
      <c r="B164" s="612"/>
      <c r="C164" s="153" t="s">
        <v>622</v>
      </c>
      <c r="D164" s="154"/>
      <c r="E164" s="154"/>
      <c r="F164" s="154"/>
      <c r="G164" s="154"/>
      <c r="H164" s="44" t="s">
        <v>67</v>
      </c>
      <c r="I164" s="492" t="s">
        <v>84</v>
      </c>
      <c r="J164" s="492" t="str">
        <f>IF($B45="x","enthalten","Add-On")</f>
        <v>Add-On</v>
      </c>
      <c r="K164" s="492" t="str">
        <f>IF($B45="x","enthalten","Add-On")</f>
        <v>Add-On</v>
      </c>
      <c r="L164" s="492" t="str">
        <f>IF($B45="x","enthalten","Add-On")</f>
        <v>Add-On</v>
      </c>
      <c r="M164" s="94" t="s">
        <v>2</v>
      </c>
      <c r="N164" s="94" t="s">
        <v>2</v>
      </c>
      <c r="O164" s="492" t="str">
        <f>IF($B45="x","enthalten","Add-On")</f>
        <v>Add-On</v>
      </c>
      <c r="P164" s="492" t="str">
        <f>IF($B45="x","enthalten","Add-On")</f>
        <v>Add-On</v>
      </c>
      <c r="Q164" s="492"/>
      <c r="R164" s="492" t="str">
        <f>IF($B45="x","enthalten","Add-On")</f>
        <v>Add-On</v>
      </c>
      <c r="S164" s="492" t="str">
        <f>IF($B45="x","enthalten","Add-On")</f>
        <v>Add-On</v>
      </c>
      <c r="T164" s="94" t="s">
        <v>2</v>
      </c>
      <c r="U164" s="260">
        <v>11.21</v>
      </c>
      <c r="V164" s="708">
        <f t="shared" si="64"/>
        <v>11.99</v>
      </c>
      <c r="W164" s="46">
        <v>11.99</v>
      </c>
      <c r="X164" s="668"/>
      <c r="Y164" s="99"/>
      <c r="Z164" s="419" t="s">
        <v>2</v>
      </c>
      <c r="AA164" s="648" t="e">
        <f>V164/#REF!</f>
        <v>#REF!</v>
      </c>
      <c r="AB164" s="370" t="e">
        <f>W164/#REF!</f>
        <v>#REF!</v>
      </c>
      <c r="AC164" s="418"/>
      <c r="AD164" s="99"/>
      <c r="AE164" s="99"/>
      <c r="AF164" s="99"/>
      <c r="AG164" s="99"/>
      <c r="AH164" s="100"/>
      <c r="AI164" s="100"/>
      <c r="AJ164" s="99"/>
      <c r="AK164" s="100"/>
      <c r="AL164" s="100"/>
      <c r="AM164" s="99"/>
      <c r="AN164" s="99"/>
      <c r="AO164" s="99"/>
      <c r="AP164" s="99"/>
      <c r="AQ164" s="99"/>
      <c r="AR164" s="99"/>
      <c r="AS164" s="99"/>
      <c r="AT164" s="99"/>
      <c r="AU164" s="99"/>
      <c r="AV164" s="99"/>
      <c r="AW164" s="99"/>
      <c r="AX164" s="99"/>
      <c r="AY164" s="99"/>
      <c r="AZ164" s="99"/>
    </row>
    <row r="165" spans="1:52" s="49" customFormat="1" ht="18" customHeight="1" x14ac:dyDescent="0.3">
      <c r="A165" s="99"/>
      <c r="B165" s="612"/>
      <c r="C165" s="153" t="s">
        <v>623</v>
      </c>
      <c r="D165" s="154"/>
      <c r="E165" s="154"/>
      <c r="F165" s="154"/>
      <c r="G165" s="154"/>
      <c r="H165" s="44" t="s">
        <v>67</v>
      </c>
      <c r="I165" s="492" t="s">
        <v>84</v>
      </c>
      <c r="J165" s="492" t="str">
        <f t="shared" ref="J165:L166" si="66">IF($B48="x","enthalten","Add-On")</f>
        <v>Add-On</v>
      </c>
      <c r="K165" s="492" t="str">
        <f t="shared" si="66"/>
        <v>Add-On</v>
      </c>
      <c r="L165" s="492" t="str">
        <f t="shared" si="66"/>
        <v>Add-On</v>
      </c>
      <c r="M165" s="94" t="s">
        <v>2</v>
      </c>
      <c r="N165" s="94" t="s">
        <v>2</v>
      </c>
      <c r="O165" s="492" t="str">
        <f>IF($B48="x","enthalten","Add-On")</f>
        <v>Add-On</v>
      </c>
      <c r="P165" s="492" t="str">
        <f>IF($B48="x","enthalten","Add-On")</f>
        <v>Add-On</v>
      </c>
      <c r="Q165" s="492"/>
      <c r="R165" s="492" t="str">
        <f>IF($B48="x","enthalten","Add-On")</f>
        <v>Add-On</v>
      </c>
      <c r="S165" s="492" t="str">
        <f>IF($B48="x","enthalten","Add-On")</f>
        <v>Add-On</v>
      </c>
      <c r="T165" s="94" t="s">
        <v>2</v>
      </c>
      <c r="U165" s="260">
        <v>11.21</v>
      </c>
      <c r="V165" s="708">
        <f t="shared" si="64"/>
        <v>11.99</v>
      </c>
      <c r="W165" s="46">
        <v>11.99</v>
      </c>
      <c r="X165" s="668"/>
      <c r="Y165" s="99"/>
      <c r="Z165" s="419"/>
      <c r="AA165" s="648"/>
      <c r="AB165" s="370"/>
      <c r="AC165" s="418"/>
      <c r="AD165" s="99"/>
      <c r="AE165" s="99"/>
      <c r="AF165" s="99"/>
      <c r="AG165" s="99"/>
      <c r="AH165" s="100"/>
      <c r="AI165" s="100"/>
      <c r="AJ165" s="99"/>
      <c r="AK165" s="100"/>
      <c r="AL165" s="100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99"/>
    </row>
    <row r="166" spans="1:52" ht="18" x14ac:dyDescent="0.3">
      <c r="B166" s="612"/>
      <c r="C166" s="477" t="s">
        <v>625</v>
      </c>
      <c r="D166" s="154"/>
      <c r="E166" s="154"/>
      <c r="F166" s="154"/>
      <c r="G166" s="154"/>
      <c r="H166" s="44" t="s">
        <v>67</v>
      </c>
      <c r="I166" s="492" t="s">
        <v>84</v>
      </c>
      <c r="J166" s="492" t="str">
        <f t="shared" si="66"/>
        <v>Add-On</v>
      </c>
      <c r="K166" s="492" t="str">
        <f t="shared" si="66"/>
        <v>Add-On</v>
      </c>
      <c r="L166" s="492" t="str">
        <f t="shared" si="66"/>
        <v>Add-On</v>
      </c>
      <c r="M166" s="492" t="str">
        <f>IF($B49="x","enthalten","Add-On")</f>
        <v>Add-On</v>
      </c>
      <c r="N166" s="94" t="s">
        <v>2</v>
      </c>
      <c r="O166" s="492" t="str">
        <f>IF($B49="x","enthalten","Add-On")</f>
        <v>Add-On</v>
      </c>
      <c r="P166" s="492" t="str">
        <f>IF($B49="x","enthalten","Add-On")</f>
        <v>Add-On</v>
      </c>
      <c r="Q166" s="94"/>
      <c r="R166" s="94" t="s">
        <v>2</v>
      </c>
      <c r="S166" s="94" t="s">
        <v>2</v>
      </c>
      <c r="T166" s="94" t="s">
        <v>2</v>
      </c>
      <c r="U166" s="260">
        <v>11.21</v>
      </c>
      <c r="V166" s="708">
        <f t="shared" si="64"/>
        <v>11.99</v>
      </c>
      <c r="W166" s="46">
        <v>11.99</v>
      </c>
      <c r="X166" s="668"/>
      <c r="Z166" s="419" t="s">
        <v>2</v>
      </c>
      <c r="AA166" s="648" t="e">
        <f>V166/V18</f>
        <v>#VALUE!</v>
      </c>
      <c r="AB166" s="370" t="e">
        <f>W166/W18</f>
        <v>#VALUE!</v>
      </c>
      <c r="AG166" s="99"/>
      <c r="AH166" s="100"/>
      <c r="AI166" s="100"/>
      <c r="AJ166" s="99"/>
      <c r="AK166" s="100"/>
      <c r="AL166" s="100"/>
      <c r="AM166" s="99"/>
    </row>
    <row r="167" spans="1:52" ht="18" x14ac:dyDescent="0.3">
      <c r="B167" s="612"/>
      <c r="C167" s="477" t="s">
        <v>627</v>
      </c>
      <c r="D167" s="154"/>
      <c r="E167" s="154"/>
      <c r="F167" s="154"/>
      <c r="G167" s="154"/>
      <c r="H167" s="44" t="s">
        <v>664</v>
      </c>
      <c r="I167" s="492" t="s">
        <v>84</v>
      </c>
      <c r="J167" s="492" t="str">
        <f>IF($B54="x","enthalten","Add-On")</f>
        <v>Add-On</v>
      </c>
      <c r="K167" s="492" t="str">
        <f>IF($B54="x","enthalten","Add-On")</f>
        <v>Add-On</v>
      </c>
      <c r="L167" s="492" t="str">
        <f>IF($B54="x","enthalten","Add-On")</f>
        <v>Add-On</v>
      </c>
      <c r="M167" s="492" t="str">
        <f>IF($B54="x","enthalten","Add-On")</f>
        <v>Add-On</v>
      </c>
      <c r="N167" s="94" t="s">
        <v>2</v>
      </c>
      <c r="O167" s="492" t="str">
        <f>IF($B54="x","enthalten","Add-On")</f>
        <v>Add-On</v>
      </c>
      <c r="P167" s="492" t="str">
        <f>IF($B54="x","enthalten","Add-On")</f>
        <v>Add-On</v>
      </c>
      <c r="Q167" s="94"/>
      <c r="R167" s="94" t="s">
        <v>2</v>
      </c>
      <c r="S167" s="94" t="s">
        <v>2</v>
      </c>
      <c r="T167" s="94" t="s">
        <v>2</v>
      </c>
      <c r="U167" s="260">
        <v>11.21</v>
      </c>
      <c r="V167" s="708">
        <f t="shared" si="64"/>
        <v>11.99</v>
      </c>
      <c r="W167" s="46">
        <v>11.99</v>
      </c>
      <c r="X167" s="668"/>
      <c r="Z167" s="419" t="s">
        <v>2</v>
      </c>
      <c r="AA167" s="648" t="e">
        <f>V167/V29</f>
        <v>#VALUE!</v>
      </c>
      <c r="AB167" s="370" t="e">
        <f>W167/W29</f>
        <v>#VALUE!</v>
      </c>
      <c r="AG167" s="99"/>
      <c r="AH167" s="100"/>
      <c r="AI167" s="100"/>
      <c r="AJ167" s="99"/>
      <c r="AK167" s="100"/>
      <c r="AL167" s="100"/>
      <c r="AM167" s="99"/>
    </row>
    <row r="168" spans="1:52" ht="18" customHeight="1" thickBot="1" x14ac:dyDescent="0.35">
      <c r="B168" s="809"/>
      <c r="C168" s="810" t="s">
        <v>628</v>
      </c>
      <c r="D168" s="154"/>
      <c r="E168" s="154"/>
      <c r="F168" s="154"/>
      <c r="G168" s="154"/>
      <c r="H168" s="44" t="s">
        <v>67</v>
      </c>
      <c r="I168" s="492" t="s">
        <v>84</v>
      </c>
      <c r="J168" s="94" t="s">
        <v>2</v>
      </c>
      <c r="K168" s="94" t="s">
        <v>2</v>
      </c>
      <c r="L168" s="94" t="s">
        <v>2</v>
      </c>
      <c r="M168" s="94" t="s">
        <v>2</v>
      </c>
      <c r="N168" s="94" t="s">
        <v>2</v>
      </c>
      <c r="O168" s="94" t="s">
        <v>2</v>
      </c>
      <c r="P168" s="94" t="s">
        <v>2</v>
      </c>
      <c r="Q168" s="94"/>
      <c r="R168" s="94" t="s">
        <v>2</v>
      </c>
      <c r="S168" s="94" t="s">
        <v>2</v>
      </c>
      <c r="T168" s="94" t="s">
        <v>2</v>
      </c>
      <c r="U168" s="260">
        <f>3.99/1.07</f>
        <v>3.7289719626168223</v>
      </c>
      <c r="V168" s="708">
        <f t="shared" si="64"/>
        <v>3.99</v>
      </c>
      <c r="W168" s="46">
        <v>3.99</v>
      </c>
      <c r="X168" s="668" t="s">
        <v>408</v>
      </c>
      <c r="Z168" s="419" t="s">
        <v>2</v>
      </c>
      <c r="AA168" s="648" t="e">
        <f>V168/#REF!</f>
        <v>#REF!</v>
      </c>
      <c r="AB168" s="370" t="e">
        <f>W168/#REF!</f>
        <v>#REF!</v>
      </c>
      <c r="AG168" s="99"/>
      <c r="AH168" s="100"/>
      <c r="AI168" s="100"/>
      <c r="AJ168" s="99"/>
      <c r="AK168" s="100"/>
      <c r="AL168" s="100"/>
      <c r="AM168" s="99"/>
    </row>
    <row r="169" spans="1:52" s="95" customFormat="1" ht="18.75" thickBot="1" x14ac:dyDescent="0.35">
      <c r="B169" s="749" t="s">
        <v>357</v>
      </c>
      <c r="C169" s="709" t="s">
        <v>671</v>
      </c>
      <c r="D169" s="154"/>
      <c r="E169" s="154"/>
      <c r="F169" s="154"/>
      <c r="G169" s="154"/>
      <c r="H169" s="201" t="s">
        <v>67</v>
      </c>
      <c r="I169" s="493" t="s">
        <v>90</v>
      </c>
      <c r="J169" s="493" t="s">
        <v>90</v>
      </c>
      <c r="K169" s="266" t="s">
        <v>90</v>
      </c>
      <c r="L169" s="266" t="s">
        <v>90</v>
      </c>
      <c r="M169" s="266" t="s">
        <v>90</v>
      </c>
      <c r="N169" s="266" t="s">
        <v>90</v>
      </c>
      <c r="O169" s="266" t="s">
        <v>90</v>
      </c>
      <c r="P169" s="266" t="s">
        <v>90</v>
      </c>
      <c r="Q169" s="266" t="s">
        <v>90</v>
      </c>
      <c r="R169" s="266" t="s">
        <v>90</v>
      </c>
      <c r="S169" s="266" t="s">
        <v>90</v>
      </c>
      <c r="T169" s="266" t="s">
        <v>90</v>
      </c>
      <c r="U169" s="260" t="s">
        <v>3</v>
      </c>
      <c r="V169" s="260" t="s">
        <v>3</v>
      </c>
      <c r="W169" s="202" t="s">
        <v>3</v>
      </c>
      <c r="X169" s="837" t="s">
        <v>652</v>
      </c>
      <c r="Z169" s="777" t="s">
        <v>2</v>
      </c>
      <c r="AA169" s="778" t="e">
        <f>V169/#REF!</f>
        <v>#VALUE!</v>
      </c>
      <c r="AB169" s="779" t="e">
        <f>W169/#REF!</f>
        <v>#VALUE!</v>
      </c>
      <c r="AG169" s="99"/>
      <c r="AH169" s="100"/>
      <c r="AI169" s="100"/>
      <c r="AJ169" s="99"/>
      <c r="AK169" s="100"/>
      <c r="AL169" s="100"/>
      <c r="AM169" s="99"/>
    </row>
    <row r="170" spans="1:52" s="95" customFormat="1" ht="18" hidden="1" outlineLevel="1" x14ac:dyDescent="0.3">
      <c r="B170" s="784"/>
      <c r="C170" s="709" t="s">
        <v>544</v>
      </c>
      <c r="D170" s="154"/>
      <c r="E170" s="154"/>
      <c r="F170" s="154"/>
      <c r="G170" s="154"/>
      <c r="H170" s="201" t="s">
        <v>67</v>
      </c>
      <c r="I170" s="493" t="s">
        <v>90</v>
      </c>
      <c r="J170" s="493" t="s">
        <v>90</v>
      </c>
      <c r="K170" s="493" t="s">
        <v>90</v>
      </c>
      <c r="L170" s="493" t="s">
        <v>90</v>
      </c>
      <c r="M170" s="493" t="s">
        <v>90</v>
      </c>
      <c r="N170" s="493" t="s">
        <v>90</v>
      </c>
      <c r="O170" s="493" t="s">
        <v>90</v>
      </c>
      <c r="P170" s="493" t="s">
        <v>90</v>
      </c>
      <c r="Q170" s="493" t="s">
        <v>90</v>
      </c>
      <c r="R170" s="493" t="s">
        <v>90</v>
      </c>
      <c r="S170" s="493" t="s">
        <v>90</v>
      </c>
      <c r="T170" s="493" t="s">
        <v>90</v>
      </c>
      <c r="U170" s="260" t="s">
        <v>3</v>
      </c>
      <c r="V170" s="708" t="s">
        <v>3</v>
      </c>
      <c r="W170" s="46" t="s">
        <v>3</v>
      </c>
      <c r="X170" s="815" t="s">
        <v>518</v>
      </c>
      <c r="Z170" s="777" t="s">
        <v>2</v>
      </c>
      <c r="AA170" s="778" t="e">
        <f>V170/#REF!</f>
        <v>#VALUE!</v>
      </c>
      <c r="AB170" s="779" t="e">
        <f>W170/#REF!</f>
        <v>#VALUE!</v>
      </c>
      <c r="AG170" s="99"/>
      <c r="AH170" s="100"/>
      <c r="AI170" s="100"/>
      <c r="AJ170" s="99"/>
      <c r="AK170" s="100"/>
      <c r="AL170" s="100"/>
      <c r="AM170" s="99"/>
    </row>
    <row r="171" spans="1:52" s="95" customFormat="1" ht="18.75" hidden="1" outlineLevel="1" thickBot="1" x14ac:dyDescent="0.35">
      <c r="B171" s="748"/>
      <c r="C171" s="709" t="s">
        <v>556</v>
      </c>
      <c r="D171" s="154"/>
      <c r="E171" s="154"/>
      <c r="F171" s="154"/>
      <c r="G171" s="154"/>
      <c r="H171" s="201" t="s">
        <v>67</v>
      </c>
      <c r="I171" s="493" t="s">
        <v>90</v>
      </c>
      <c r="J171" s="493" t="s">
        <v>90</v>
      </c>
      <c r="K171" s="493" t="s">
        <v>90</v>
      </c>
      <c r="L171" s="493" t="s">
        <v>90</v>
      </c>
      <c r="M171" s="493" t="s">
        <v>90</v>
      </c>
      <c r="N171" s="493" t="s">
        <v>90</v>
      </c>
      <c r="O171" s="493" t="s">
        <v>90</v>
      </c>
      <c r="P171" s="493" t="s">
        <v>90</v>
      </c>
      <c r="Q171" s="493" t="s">
        <v>90</v>
      </c>
      <c r="R171" s="493" t="s">
        <v>90</v>
      </c>
      <c r="S171" s="493" t="s">
        <v>90</v>
      </c>
      <c r="T171" s="493" t="s">
        <v>90</v>
      </c>
      <c r="U171" s="260" t="s">
        <v>3</v>
      </c>
      <c r="V171" s="708" t="s">
        <v>3</v>
      </c>
      <c r="W171" s="46" t="s">
        <v>3</v>
      </c>
      <c r="X171" s="783" t="s">
        <v>518</v>
      </c>
      <c r="Z171" s="777" t="s">
        <v>2</v>
      </c>
      <c r="AA171" s="778" t="e">
        <f>V171/V17</f>
        <v>#VALUE!</v>
      </c>
      <c r="AB171" s="779" t="e">
        <f>W171/W17</f>
        <v>#VALUE!</v>
      </c>
      <c r="AG171" s="99"/>
      <c r="AH171" s="100"/>
      <c r="AI171" s="100"/>
      <c r="AJ171" s="99"/>
      <c r="AK171" s="100"/>
      <c r="AL171" s="100"/>
      <c r="AM171" s="99"/>
    </row>
    <row r="172" spans="1:52" s="1" customFormat="1" ht="15.75" collapsed="1" thickBot="1" x14ac:dyDescent="0.35">
      <c r="A172" s="100"/>
      <c r="B172" s="597" t="s">
        <v>88</v>
      </c>
      <c r="C172" s="598" t="s">
        <v>361</v>
      </c>
      <c r="D172" s="599"/>
      <c r="E172" s="599"/>
      <c r="F172" s="599"/>
      <c r="G172" s="599"/>
      <c r="H172" s="600"/>
      <c r="I172" s="601">
        <f t="shared" ref="I172:T172" si="67">SUMIF(I$159:I$171,"µ",$W$159:$W$171)</f>
        <v>0</v>
      </c>
      <c r="J172" s="601">
        <f t="shared" si="67"/>
        <v>3.99</v>
      </c>
      <c r="K172" s="601">
        <f t="shared" si="67"/>
        <v>30.979999999999997</v>
      </c>
      <c r="L172" s="601">
        <f t="shared" si="67"/>
        <v>30.979999999999997</v>
      </c>
      <c r="M172" s="601">
        <f t="shared" si="67"/>
        <v>81.949999999999989</v>
      </c>
      <c r="N172" s="601">
        <f t="shared" si="67"/>
        <v>135.91</v>
      </c>
      <c r="O172" s="601">
        <f t="shared" si="67"/>
        <v>87.949999999999989</v>
      </c>
      <c r="P172" s="601">
        <f t="shared" si="67"/>
        <v>87.949999999999989</v>
      </c>
      <c r="Q172" s="601">
        <f t="shared" si="67"/>
        <v>0</v>
      </c>
      <c r="R172" s="601">
        <f t="shared" si="67"/>
        <v>111.92999999999998</v>
      </c>
      <c r="S172" s="601">
        <f t="shared" si="67"/>
        <v>111.92999999999998</v>
      </c>
      <c r="T172" s="602">
        <f t="shared" si="67"/>
        <v>135.91</v>
      </c>
      <c r="U172" s="603">
        <f>SUM(U159:U171)</f>
        <v>127.05897196261684</v>
      </c>
      <c r="V172" s="603">
        <f>SUM(V159:V171)</f>
        <v>135.94</v>
      </c>
      <c r="W172" s="604">
        <f>SUM(W159:W171)</f>
        <v>135.91</v>
      </c>
      <c r="X172" s="100"/>
      <c r="Y172" s="99"/>
      <c r="Z172" s="369"/>
      <c r="AA172" s="644"/>
      <c r="AB172" s="546"/>
      <c r="AC172" s="99"/>
      <c r="AD172" s="99"/>
      <c r="AE172" s="99"/>
      <c r="AF172" s="99"/>
      <c r="AG172" s="99"/>
      <c r="AH172" s="100"/>
      <c r="AI172" s="100"/>
      <c r="AJ172" s="99"/>
      <c r="AK172" s="100"/>
      <c r="AL172" s="100"/>
      <c r="AM172" s="99"/>
      <c r="AN172" s="100"/>
      <c r="AO172" s="100"/>
      <c r="AP172" s="100"/>
      <c r="AQ172" s="100"/>
      <c r="AR172" s="100"/>
      <c r="AS172" s="100"/>
      <c r="AT172" s="100"/>
      <c r="AU172" s="100"/>
      <c r="AV172" s="100"/>
      <c r="AW172" s="100"/>
      <c r="AX172" s="100"/>
      <c r="AY172" s="100"/>
      <c r="AZ172" s="100"/>
    </row>
    <row r="173" spans="1:52" s="1" customFormat="1" ht="15.75" thickBot="1" x14ac:dyDescent="0.35">
      <c r="A173" s="100"/>
      <c r="B173" s="597" t="s">
        <v>89</v>
      </c>
      <c r="C173" s="598" t="s">
        <v>362</v>
      </c>
      <c r="D173" s="599"/>
      <c r="E173" s="599"/>
      <c r="F173" s="599"/>
      <c r="G173" s="599"/>
      <c r="H173" s="600"/>
      <c r="I173" s="601">
        <f t="shared" ref="I173:W173" si="68">I156+I172</f>
        <v>0</v>
      </c>
      <c r="J173" s="601">
        <f t="shared" si="68"/>
        <v>3.99</v>
      </c>
      <c r="K173" s="601">
        <f t="shared" si="68"/>
        <v>75.930000000000007</v>
      </c>
      <c r="L173" s="601">
        <f t="shared" si="68"/>
        <v>100.93</v>
      </c>
      <c r="M173" s="601">
        <f t="shared" si="68"/>
        <v>166.8</v>
      </c>
      <c r="N173" s="601">
        <f t="shared" si="68"/>
        <v>135.91</v>
      </c>
      <c r="O173" s="601">
        <f t="shared" si="68"/>
        <v>182.8</v>
      </c>
      <c r="P173" s="601">
        <f t="shared" si="68"/>
        <v>207.8</v>
      </c>
      <c r="Q173" s="601">
        <f t="shared" si="68"/>
        <v>0</v>
      </c>
      <c r="R173" s="601">
        <f t="shared" si="68"/>
        <v>331.4799999999999</v>
      </c>
      <c r="S173" s="601">
        <f t="shared" si="68"/>
        <v>356.4799999999999</v>
      </c>
      <c r="T173" s="602">
        <f t="shared" si="68"/>
        <v>465.30999999999995</v>
      </c>
      <c r="U173" s="603">
        <f t="shared" si="68"/>
        <v>429.81897196261679</v>
      </c>
      <c r="V173" s="603">
        <f t="shared" si="68"/>
        <v>765.19</v>
      </c>
      <c r="W173" s="604">
        <f t="shared" si="68"/>
        <v>465.30999999999995</v>
      </c>
      <c r="X173" s="100"/>
      <c r="Y173" s="99"/>
      <c r="Z173" s="369"/>
      <c r="AA173" s="644"/>
      <c r="AB173" s="546"/>
      <c r="AC173" s="99"/>
      <c r="AD173" s="99"/>
      <c r="AE173" s="99"/>
      <c r="AF173" s="99"/>
      <c r="AG173" s="99"/>
      <c r="AH173" s="100"/>
      <c r="AI173" s="100"/>
      <c r="AJ173" s="99"/>
      <c r="AK173" s="100"/>
      <c r="AL173" s="100"/>
      <c r="AM173" s="99"/>
      <c r="AN173" s="100"/>
      <c r="AO173" s="100"/>
      <c r="AP173" s="100"/>
      <c r="AQ173" s="100"/>
      <c r="AR173" s="100"/>
      <c r="AS173" s="100"/>
      <c r="AT173" s="100"/>
      <c r="AU173" s="100"/>
      <c r="AV173" s="100"/>
      <c r="AW173" s="100"/>
      <c r="AX173" s="100"/>
      <c r="AY173" s="100"/>
      <c r="AZ173" s="100"/>
    </row>
    <row r="174" spans="1:52" s="1" customFormat="1" ht="6.75" customHeight="1" thickBot="1" x14ac:dyDescent="0.35">
      <c r="A174" s="100"/>
      <c r="B174" s="114"/>
      <c r="C174" s="115"/>
      <c r="D174" s="155"/>
      <c r="E174" s="155"/>
      <c r="F174" s="155"/>
      <c r="G174" s="155"/>
      <c r="H174" s="115"/>
      <c r="I174" s="499"/>
      <c r="J174" s="499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484"/>
      <c r="V174" s="117"/>
      <c r="W174" s="118"/>
      <c r="X174" s="100"/>
      <c r="Y174" s="99"/>
      <c r="Z174" s="369"/>
      <c r="AA174" s="648"/>
      <c r="AB174" s="369"/>
      <c r="AC174" s="99"/>
      <c r="AD174" s="99"/>
      <c r="AE174" s="99"/>
      <c r="AF174" s="99"/>
      <c r="AG174" s="99"/>
      <c r="AH174" s="100"/>
      <c r="AI174" s="100"/>
      <c r="AJ174" s="99"/>
      <c r="AK174" s="100"/>
      <c r="AL174" s="100"/>
      <c r="AM174" s="99"/>
      <c r="AN174" s="100"/>
      <c r="AO174" s="100"/>
      <c r="AP174" s="100"/>
      <c r="AQ174" s="100"/>
      <c r="AR174" s="100"/>
      <c r="AS174" s="100"/>
      <c r="AT174" s="100"/>
      <c r="AU174" s="100"/>
      <c r="AV174" s="100"/>
      <c r="AW174" s="100"/>
      <c r="AX174" s="100"/>
      <c r="AY174" s="100"/>
      <c r="AZ174" s="100"/>
    </row>
    <row r="175" spans="1:52" s="1" customFormat="1" ht="19.5" thickBot="1" x14ac:dyDescent="0.35">
      <c r="A175" s="100"/>
      <c r="B175" s="141" t="s">
        <v>4</v>
      </c>
      <c r="C175" s="930" t="s">
        <v>367</v>
      </c>
      <c r="D175" s="931"/>
      <c r="E175" s="931"/>
      <c r="F175" s="931"/>
      <c r="G175" s="931"/>
      <c r="H175" s="932"/>
      <c r="I175" s="500">
        <f>I$7+SUMIFS($V$8:$V$171,$B$8:$B$171,"x",I$8:I$171,"Add-On")+SUMIFS($W$8:$W$171,$B$8:$B$171,"x",I$8:I$171,"Kauf nach CF")+SUMIFS($W$8:$W$171,$B$8:$B$171,"x",I$8:I$171,"nicht erhältlich")</f>
        <v>0</v>
      </c>
      <c r="J175" s="500">
        <f>J$7+SUMIFS($V$8:$V$171,$B$8:$B$171,"x",J$8:J$171,"Add-On")+SUMIFS($W$8:$W$171,$B$8:$B$171,"x",J$8:J$171,"Kauf nach CF")+IF(AND(B58="x",SUMIFS($U$8:$U$49,$B$8:$B$49,"x",J$8:J$49,"Add-On")+SUMIFS($U$59:$U$67,$B$59:$B$67,"x",J$59:J$67,"Add-On")&lt;50),W58,0)</f>
        <v>0</v>
      </c>
      <c r="K175" s="464">
        <f t="shared" ref="K175:P175" si="69">K$7+SUMIFS($V$8:$V$171,$B$8:$B$171,"x",K$8:K$171,"Add-On")+SUMIFS($W$8:$W$171,$B$8:$B$171,"x",K$8:K$171,"Kauf nach CF")</f>
        <v>45</v>
      </c>
      <c r="L175" s="464">
        <f t="shared" si="69"/>
        <v>70</v>
      </c>
      <c r="M175" s="464">
        <f t="shared" si="69"/>
        <v>85</v>
      </c>
      <c r="N175" s="464">
        <f t="shared" si="69"/>
        <v>99</v>
      </c>
      <c r="O175" s="464">
        <f t="shared" si="69"/>
        <v>90</v>
      </c>
      <c r="P175" s="464">
        <f t="shared" si="69"/>
        <v>115</v>
      </c>
      <c r="Q175" s="464"/>
      <c r="R175" s="464">
        <f>R$7+SUMIFS($V$8:$V$171,$B$8:$B$171,"x",R$8:R$171,"Add-On")+SUMIFS($W$8:$W$171,$B$8:$B$171,"x",R$8:R$171,"Kauf nach CF")</f>
        <v>170</v>
      </c>
      <c r="S175" s="464">
        <f>S$7+SUMIFS($V$8:$V$171,$B$8:$B$171,"x",S$8:S$171,"Add-On")+SUMIFS($W$8:$W$171,$B$8:$B$171,"x",S$8:S$171,"Kauf nach CF")</f>
        <v>195</v>
      </c>
      <c r="T175" s="465">
        <f>T$7+SUMIFS($V$8:$V$171,$B$8:$B$171,"x",T$8:T$171,"Add-On")+SUMIFS($W$8:$W$171,$B$8:$B$171,"x",T$8:T$171,"Kauf nach CF")</f>
        <v>250</v>
      </c>
      <c r="U175" s="484"/>
      <c r="V175" s="117"/>
      <c r="W175" s="118"/>
      <c r="X175" s="100"/>
      <c r="Y175" s="99"/>
      <c r="Z175" s="419" t="s">
        <v>2</v>
      </c>
      <c r="AA175" s="648"/>
      <c r="AB175" s="369"/>
      <c r="AC175" s="99"/>
      <c r="AD175" s="99"/>
      <c r="AE175" s="99"/>
      <c r="AF175" s="99"/>
      <c r="AG175" s="99"/>
      <c r="AH175" s="100"/>
      <c r="AI175" s="100"/>
      <c r="AJ175" s="99"/>
      <c r="AK175" s="100"/>
      <c r="AL175" s="100"/>
      <c r="AM175" s="99"/>
      <c r="AN175" s="100"/>
      <c r="AO175" s="100"/>
      <c r="AP175" s="100"/>
      <c r="AQ175" s="100"/>
      <c r="AR175" s="100"/>
      <c r="AS175" s="100"/>
      <c r="AT175" s="100"/>
      <c r="AU175" s="100"/>
      <c r="AV175" s="100"/>
      <c r="AW175" s="100"/>
      <c r="AX175" s="100"/>
      <c r="AY175" s="100"/>
      <c r="AZ175" s="100"/>
    </row>
    <row r="176" spans="1:52" s="1" customFormat="1" ht="19.5" customHeight="1" x14ac:dyDescent="0.3">
      <c r="A176" s="100"/>
      <c r="B176" s="545"/>
      <c r="C176" s="948" t="s">
        <v>635</v>
      </c>
      <c r="D176" s="949"/>
      <c r="E176" s="949"/>
      <c r="F176" s="949"/>
      <c r="G176" s="811"/>
      <c r="H176" s="812" t="s">
        <v>120</v>
      </c>
      <c r="I176" s="506">
        <f>$I$175-I$175</f>
        <v>0</v>
      </c>
      <c r="J176" s="501">
        <f t="shared" ref="J176:P176" si="70">$I$175-J$175</f>
        <v>0</v>
      </c>
      <c r="K176" s="501">
        <f t="shared" si="70"/>
        <v>-45</v>
      </c>
      <c r="L176" s="501">
        <f t="shared" si="70"/>
        <v>-70</v>
      </c>
      <c r="M176" s="501">
        <f t="shared" si="70"/>
        <v>-85</v>
      </c>
      <c r="N176" s="501">
        <f t="shared" si="70"/>
        <v>-99</v>
      </c>
      <c r="O176" s="501">
        <f t="shared" si="70"/>
        <v>-90</v>
      </c>
      <c r="P176" s="501">
        <f t="shared" si="70"/>
        <v>-115</v>
      </c>
      <c r="Q176" s="501"/>
      <c r="R176" s="501">
        <f t="shared" ref="R176" si="71">$I$175-R$175</f>
        <v>-170</v>
      </c>
      <c r="S176" s="501">
        <f>$I$175-S$175</f>
        <v>-195</v>
      </c>
      <c r="T176" s="813">
        <f>$I$175-T$175</f>
        <v>-250</v>
      </c>
      <c r="U176" s="484"/>
      <c r="V176" s="484"/>
      <c r="W176" s="814"/>
      <c r="X176" s="100"/>
      <c r="Y176" s="99"/>
      <c r="Z176" s="463" t="s">
        <v>2</v>
      </c>
      <c r="AA176" s="648"/>
      <c r="AB176" s="369"/>
      <c r="AC176" s="99"/>
      <c r="AD176" s="99"/>
      <c r="AE176" s="99"/>
      <c r="AF176" s="99"/>
      <c r="AG176" s="99"/>
      <c r="AH176" s="100"/>
      <c r="AI176" s="100"/>
      <c r="AJ176" s="99"/>
      <c r="AK176" s="100"/>
      <c r="AL176" s="100"/>
      <c r="AM176" s="99"/>
      <c r="AN176" s="100"/>
      <c r="AO176" s="100"/>
      <c r="AP176" s="100"/>
      <c r="AQ176" s="100"/>
      <c r="AR176" s="100"/>
      <c r="AS176" s="100"/>
      <c r="AT176" s="100"/>
      <c r="AU176" s="100"/>
      <c r="AV176" s="100"/>
      <c r="AW176" s="100"/>
      <c r="AX176" s="100"/>
      <c r="AY176" s="100"/>
      <c r="AZ176" s="100"/>
    </row>
    <row r="177" spans="1:52" s="1" customFormat="1" ht="19.5" customHeight="1" x14ac:dyDescent="0.3">
      <c r="A177" s="100"/>
      <c r="B177" s="545"/>
      <c r="C177" s="950"/>
      <c r="D177" s="951"/>
      <c r="E177" s="951"/>
      <c r="F177" s="951"/>
      <c r="G177" s="811"/>
      <c r="H177" s="812" t="str">
        <f>J3</f>
        <v>Kein Paket (Einzelkauf)</v>
      </c>
      <c r="I177" s="501">
        <f t="shared" ref="I177:N177" si="72">$J$175-I$175</f>
        <v>0</v>
      </c>
      <c r="J177" s="506">
        <f t="shared" si="72"/>
        <v>0</v>
      </c>
      <c r="K177" s="501">
        <f t="shared" si="72"/>
        <v>-45</v>
      </c>
      <c r="L177" s="501">
        <f t="shared" si="72"/>
        <v>-70</v>
      </c>
      <c r="M177" s="501">
        <f t="shared" si="72"/>
        <v>-85</v>
      </c>
      <c r="N177" s="501">
        <f t="shared" si="72"/>
        <v>-99</v>
      </c>
      <c r="O177" s="501">
        <f t="shared" ref="O177:T177" si="73">$J$175-O$175</f>
        <v>-90</v>
      </c>
      <c r="P177" s="501">
        <f t="shared" si="73"/>
        <v>-115</v>
      </c>
      <c r="Q177" s="501"/>
      <c r="R177" s="501">
        <f t="shared" si="73"/>
        <v>-170</v>
      </c>
      <c r="S177" s="501">
        <f t="shared" si="73"/>
        <v>-195</v>
      </c>
      <c r="T177" s="813">
        <f t="shared" si="73"/>
        <v>-250</v>
      </c>
      <c r="U177" s="484"/>
      <c r="V177" s="484"/>
      <c r="W177" s="814"/>
      <c r="X177" s="100"/>
      <c r="Y177" s="99"/>
      <c r="Z177" s="463"/>
      <c r="AA177" s="648"/>
      <c r="AB177" s="369"/>
      <c r="AC177" s="99"/>
      <c r="AD177" s="99"/>
      <c r="AE177" s="99"/>
      <c r="AF177" s="99"/>
      <c r="AG177" s="99"/>
      <c r="AH177" s="100"/>
      <c r="AI177" s="100"/>
      <c r="AJ177" s="99"/>
      <c r="AK177" s="100"/>
      <c r="AL177" s="100"/>
      <c r="AM177" s="99"/>
      <c r="AN177" s="100"/>
      <c r="AO177" s="100"/>
      <c r="AP177" s="100"/>
      <c r="AQ177" s="100"/>
      <c r="AR177" s="100"/>
      <c r="AS177" s="100"/>
      <c r="AT177" s="100"/>
      <c r="AU177" s="100"/>
      <c r="AV177" s="100"/>
      <c r="AW177" s="100"/>
      <c r="AX177" s="100"/>
      <c r="AY177" s="100"/>
      <c r="AZ177" s="100"/>
    </row>
    <row r="178" spans="1:52" s="1" customFormat="1" ht="19.5" customHeight="1" x14ac:dyDescent="0.3">
      <c r="A178" s="100"/>
      <c r="B178" s="114"/>
      <c r="C178" s="950"/>
      <c r="D178" s="951"/>
      <c r="E178" s="951"/>
      <c r="F178" s="951"/>
      <c r="G178" s="523"/>
      <c r="H178" s="148" t="s">
        <v>629</v>
      </c>
      <c r="I178" s="501">
        <f t="shared" ref="I178:P178" si="74">$K$175-I$175</f>
        <v>45</v>
      </c>
      <c r="J178" s="501">
        <f t="shared" si="74"/>
        <v>45</v>
      </c>
      <c r="K178" s="507">
        <f t="shared" si="74"/>
        <v>0</v>
      </c>
      <c r="L178" s="263">
        <f t="shared" si="74"/>
        <v>-25</v>
      </c>
      <c r="M178" s="263">
        <f t="shared" si="74"/>
        <v>-40</v>
      </c>
      <c r="N178" s="263">
        <f t="shared" si="74"/>
        <v>-54</v>
      </c>
      <c r="O178" s="263">
        <f t="shared" si="74"/>
        <v>-45</v>
      </c>
      <c r="P178" s="263">
        <f t="shared" si="74"/>
        <v>-70</v>
      </c>
      <c r="Q178" s="263"/>
      <c r="R178" s="263">
        <f t="shared" ref="R178" si="75">$K$175-R$175</f>
        <v>-125</v>
      </c>
      <c r="S178" s="263">
        <f>$K$175-S$175</f>
        <v>-150</v>
      </c>
      <c r="T178" s="264">
        <f>$K$175-T$175</f>
        <v>-205</v>
      </c>
      <c r="U178" s="484"/>
      <c r="V178" s="117"/>
      <c r="W178" s="118"/>
      <c r="X178" s="100"/>
      <c r="Y178" s="99"/>
      <c r="Z178" s="419" t="s">
        <v>2</v>
      </c>
      <c r="AA178" s="648"/>
      <c r="AB178" s="369"/>
      <c r="AC178" s="99"/>
      <c r="AD178" s="99"/>
      <c r="AE178" s="99"/>
      <c r="AF178" s="99"/>
      <c r="AG178" s="99"/>
      <c r="AH178" s="100"/>
      <c r="AI178" s="100"/>
      <c r="AJ178" s="99"/>
      <c r="AK178" s="100"/>
      <c r="AL178" s="100"/>
      <c r="AM178" s="99"/>
      <c r="AN178" s="100"/>
      <c r="AO178" s="100"/>
      <c r="AP178" s="100"/>
      <c r="AQ178" s="100"/>
      <c r="AR178" s="100"/>
      <c r="AS178" s="100"/>
      <c r="AT178" s="100"/>
      <c r="AU178" s="100"/>
      <c r="AV178" s="100"/>
      <c r="AW178" s="100"/>
      <c r="AX178" s="100"/>
      <c r="AY178" s="100"/>
      <c r="AZ178" s="100"/>
    </row>
    <row r="179" spans="1:52" s="1" customFormat="1" ht="19.5" customHeight="1" x14ac:dyDescent="0.3">
      <c r="A179" s="100"/>
      <c r="B179" s="114"/>
      <c r="C179" s="950"/>
      <c r="D179" s="951"/>
      <c r="E179" s="951"/>
      <c r="F179" s="951"/>
      <c r="G179" s="523"/>
      <c r="H179" s="148" t="s">
        <v>630</v>
      </c>
      <c r="I179" s="501">
        <f t="shared" ref="I179:P179" si="76">$L$175-I$175</f>
        <v>70</v>
      </c>
      <c r="J179" s="501">
        <f t="shared" si="76"/>
        <v>70</v>
      </c>
      <c r="K179" s="263">
        <f t="shared" si="76"/>
        <v>25</v>
      </c>
      <c r="L179" s="507">
        <f t="shared" si="76"/>
        <v>0</v>
      </c>
      <c r="M179" s="263">
        <f t="shared" si="76"/>
        <v>-15</v>
      </c>
      <c r="N179" s="263">
        <f t="shared" si="76"/>
        <v>-29</v>
      </c>
      <c r="O179" s="263">
        <f t="shared" si="76"/>
        <v>-20</v>
      </c>
      <c r="P179" s="263">
        <f t="shared" si="76"/>
        <v>-45</v>
      </c>
      <c r="Q179" s="263"/>
      <c r="R179" s="263">
        <f t="shared" ref="R179" si="77">$L$175-R$175</f>
        <v>-100</v>
      </c>
      <c r="S179" s="263">
        <f>$L$175-S$175</f>
        <v>-125</v>
      </c>
      <c r="T179" s="264">
        <f>$L$175-T$175</f>
        <v>-180</v>
      </c>
      <c r="U179" s="484"/>
      <c r="V179" s="117"/>
      <c r="W179" s="118"/>
      <c r="X179" s="100"/>
      <c r="Y179" s="99"/>
      <c r="Z179" s="419" t="s">
        <v>2</v>
      </c>
      <c r="AA179" s="648"/>
      <c r="AB179" s="369"/>
      <c r="AC179" s="99"/>
      <c r="AD179" s="99"/>
      <c r="AE179" s="99"/>
      <c r="AF179" s="99"/>
      <c r="AG179" s="99"/>
      <c r="AH179" s="100"/>
      <c r="AI179" s="100"/>
      <c r="AJ179" s="99"/>
      <c r="AK179" s="100"/>
      <c r="AL179" s="100"/>
      <c r="AM179" s="99"/>
      <c r="AN179" s="100"/>
      <c r="AO179" s="100"/>
      <c r="AP179" s="100"/>
      <c r="AQ179" s="100"/>
      <c r="AR179" s="100"/>
      <c r="AS179" s="100"/>
      <c r="AT179" s="100"/>
      <c r="AU179" s="100"/>
      <c r="AV179" s="100"/>
      <c r="AW179" s="100"/>
      <c r="AX179" s="100"/>
      <c r="AY179" s="100"/>
      <c r="AZ179" s="100"/>
    </row>
    <row r="180" spans="1:52" s="1" customFormat="1" ht="19.5" customHeight="1" x14ac:dyDescent="0.25">
      <c r="A180" s="100"/>
      <c r="B180" s="114"/>
      <c r="C180" s="950"/>
      <c r="D180" s="951"/>
      <c r="E180" s="951"/>
      <c r="F180" s="951"/>
      <c r="G180" s="523"/>
      <c r="H180" s="148" t="str">
        <f>M3</f>
        <v>Bundle regelfrei</v>
      </c>
      <c r="I180" s="501">
        <f t="shared" ref="I180:P180" si="78">$M$175-I$175</f>
        <v>85</v>
      </c>
      <c r="J180" s="501">
        <f t="shared" si="78"/>
        <v>85</v>
      </c>
      <c r="K180" s="263">
        <f t="shared" si="78"/>
        <v>40</v>
      </c>
      <c r="L180" s="263">
        <f t="shared" si="78"/>
        <v>15</v>
      </c>
      <c r="M180" s="507">
        <f t="shared" si="78"/>
        <v>0</v>
      </c>
      <c r="N180" s="263">
        <f t="shared" si="78"/>
        <v>-14</v>
      </c>
      <c r="O180" s="263">
        <f t="shared" si="78"/>
        <v>-5</v>
      </c>
      <c r="P180" s="263">
        <f t="shared" si="78"/>
        <v>-30</v>
      </c>
      <c r="Q180" s="263"/>
      <c r="R180" s="263">
        <f t="shared" ref="R180" si="79">$M$175-R$175</f>
        <v>-85</v>
      </c>
      <c r="S180" s="263">
        <f>$M$175-S$175</f>
        <v>-110</v>
      </c>
      <c r="T180" s="264">
        <f>$M$175-T$175</f>
        <v>-165</v>
      </c>
      <c r="U180" s="484"/>
      <c r="V180" s="117"/>
      <c r="W180" s="118"/>
      <c r="X180" s="100"/>
      <c r="Y180" s="100"/>
      <c r="Z180" s="419" t="s">
        <v>2</v>
      </c>
      <c r="AA180" s="649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100"/>
      <c r="AV180" s="100"/>
      <c r="AW180" s="100"/>
      <c r="AX180" s="100"/>
      <c r="AY180" s="100"/>
      <c r="AZ180" s="100"/>
    </row>
    <row r="181" spans="1:52" s="1" customFormat="1" ht="19.5" customHeight="1" x14ac:dyDescent="0.25">
      <c r="A181" s="100"/>
      <c r="B181" s="114"/>
      <c r="C181" s="950"/>
      <c r="D181" s="951"/>
      <c r="E181" s="951"/>
      <c r="F181" s="951"/>
      <c r="G181" s="523"/>
      <c r="H181" s="148" t="str">
        <f>N3</f>
        <v>Digitales Bundle</v>
      </c>
      <c r="I181" s="501">
        <f t="shared" ref="I181:T181" si="80">$N$175-I$175</f>
        <v>99</v>
      </c>
      <c r="J181" s="501">
        <f t="shared" si="80"/>
        <v>99</v>
      </c>
      <c r="K181" s="263">
        <f t="shared" si="80"/>
        <v>54</v>
      </c>
      <c r="L181" s="263">
        <f t="shared" si="80"/>
        <v>29</v>
      </c>
      <c r="M181" s="263">
        <f t="shared" si="80"/>
        <v>14</v>
      </c>
      <c r="N181" s="507">
        <f t="shared" si="80"/>
        <v>0</v>
      </c>
      <c r="O181" s="263">
        <f t="shared" si="80"/>
        <v>9</v>
      </c>
      <c r="P181" s="263">
        <f t="shared" si="80"/>
        <v>-16</v>
      </c>
      <c r="Q181" s="263"/>
      <c r="R181" s="263">
        <f t="shared" si="80"/>
        <v>-71</v>
      </c>
      <c r="S181" s="263">
        <f t="shared" si="80"/>
        <v>-96</v>
      </c>
      <c r="T181" s="264">
        <f t="shared" si="80"/>
        <v>-151</v>
      </c>
      <c r="U181" s="484"/>
      <c r="V181" s="117"/>
      <c r="W181" s="118"/>
      <c r="X181" s="100"/>
      <c r="Y181" s="100"/>
      <c r="Z181" s="419" t="s">
        <v>2</v>
      </c>
      <c r="AA181" s="649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100"/>
      <c r="AV181" s="100"/>
      <c r="AW181" s="100"/>
      <c r="AX181" s="100"/>
      <c r="AY181" s="100"/>
      <c r="AZ181" s="100"/>
    </row>
    <row r="182" spans="1:52" s="1" customFormat="1" ht="19.5" customHeight="1" x14ac:dyDescent="0.25">
      <c r="A182" s="100"/>
      <c r="B182" s="114"/>
      <c r="C182" s="950"/>
      <c r="D182" s="951"/>
      <c r="E182" s="951"/>
      <c r="F182" s="951"/>
      <c r="G182" s="523"/>
      <c r="H182" s="148" t="s">
        <v>631</v>
      </c>
      <c r="I182" s="501">
        <f t="shared" ref="I182:N182" si="81">$O$175-I$175</f>
        <v>90</v>
      </c>
      <c r="J182" s="501">
        <f t="shared" si="81"/>
        <v>90</v>
      </c>
      <c r="K182" s="263">
        <f t="shared" si="81"/>
        <v>45</v>
      </c>
      <c r="L182" s="263">
        <f t="shared" si="81"/>
        <v>20</v>
      </c>
      <c r="M182" s="263">
        <f t="shared" si="81"/>
        <v>5</v>
      </c>
      <c r="N182" s="263">
        <f t="shared" si="81"/>
        <v>-9</v>
      </c>
      <c r="O182" s="507">
        <f t="shared" ref="O182:T182" si="82">$O$175-O$175</f>
        <v>0</v>
      </c>
      <c r="P182" s="263">
        <f t="shared" si="82"/>
        <v>-25</v>
      </c>
      <c r="Q182" s="263"/>
      <c r="R182" s="263">
        <f t="shared" si="82"/>
        <v>-80</v>
      </c>
      <c r="S182" s="263">
        <f t="shared" si="82"/>
        <v>-105</v>
      </c>
      <c r="T182" s="264">
        <f t="shared" si="82"/>
        <v>-160</v>
      </c>
      <c r="U182" s="484"/>
      <c r="V182" s="117"/>
      <c r="W182" s="118"/>
      <c r="X182" s="100"/>
      <c r="Y182" s="100"/>
      <c r="Z182" s="419" t="s">
        <v>2</v>
      </c>
      <c r="AA182" s="649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100"/>
      <c r="AV182" s="100"/>
      <c r="AW182" s="100"/>
      <c r="AX182" s="100"/>
      <c r="AY182" s="100"/>
      <c r="AZ182" s="100"/>
    </row>
    <row r="183" spans="1:52" s="1" customFormat="1" ht="19.5" customHeight="1" x14ac:dyDescent="0.25">
      <c r="A183" s="100"/>
      <c r="B183" s="114"/>
      <c r="C183" s="950"/>
      <c r="D183" s="951"/>
      <c r="E183" s="951"/>
      <c r="F183" s="951"/>
      <c r="G183" s="523"/>
      <c r="H183" s="148" t="s">
        <v>632</v>
      </c>
      <c r="I183" s="501">
        <f t="shared" ref="I183:O183" si="83">$P$175-I$175</f>
        <v>115</v>
      </c>
      <c r="J183" s="501">
        <f t="shared" si="83"/>
        <v>115</v>
      </c>
      <c r="K183" s="263">
        <f t="shared" si="83"/>
        <v>70</v>
      </c>
      <c r="L183" s="263">
        <f t="shared" si="83"/>
        <v>45</v>
      </c>
      <c r="M183" s="263">
        <f t="shared" si="83"/>
        <v>30</v>
      </c>
      <c r="N183" s="263">
        <f t="shared" si="83"/>
        <v>16</v>
      </c>
      <c r="O183" s="263">
        <f t="shared" si="83"/>
        <v>25</v>
      </c>
      <c r="P183" s="507">
        <f>$P$175-P$175</f>
        <v>0</v>
      </c>
      <c r="Q183" s="263"/>
      <c r="R183" s="263">
        <f t="shared" ref="R183" si="84">$P$175-R$175</f>
        <v>-55</v>
      </c>
      <c r="S183" s="263">
        <f>$P$175-S$175</f>
        <v>-80</v>
      </c>
      <c r="T183" s="264">
        <f>$P$175-T$175</f>
        <v>-135</v>
      </c>
      <c r="U183" s="484"/>
      <c r="V183" s="117"/>
      <c r="W183" s="118"/>
      <c r="X183" s="100"/>
      <c r="Y183" s="100"/>
      <c r="Z183" s="419" t="s">
        <v>2</v>
      </c>
      <c r="AA183" s="649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  <c r="AO183" s="100"/>
      <c r="AP183" s="100"/>
      <c r="AQ183" s="100"/>
      <c r="AR183" s="100"/>
      <c r="AS183" s="100"/>
      <c r="AT183" s="100"/>
      <c r="AU183" s="100"/>
      <c r="AV183" s="100"/>
      <c r="AW183" s="100"/>
      <c r="AX183" s="100"/>
      <c r="AY183" s="100"/>
      <c r="AZ183" s="100"/>
    </row>
    <row r="184" spans="1:52" s="1" customFormat="1" ht="19.5" hidden="1" customHeight="1" outlineLevel="1" x14ac:dyDescent="0.25">
      <c r="A184" s="100"/>
      <c r="B184" s="114"/>
      <c r="C184" s="950"/>
      <c r="D184" s="951"/>
      <c r="E184" s="951"/>
      <c r="F184" s="951"/>
      <c r="G184" s="523"/>
      <c r="H184" s="148">
        <v>0</v>
      </c>
      <c r="I184" s="501">
        <f t="shared" ref="I184:P184" si="85">$Q$175-I$175</f>
        <v>0</v>
      </c>
      <c r="J184" s="501">
        <f t="shared" si="85"/>
        <v>0</v>
      </c>
      <c r="K184" s="263">
        <f t="shared" si="85"/>
        <v>-45</v>
      </c>
      <c r="L184" s="263">
        <f t="shared" si="85"/>
        <v>-70</v>
      </c>
      <c r="M184" s="263">
        <f t="shared" si="85"/>
        <v>-85</v>
      </c>
      <c r="N184" s="263">
        <f t="shared" si="85"/>
        <v>-99</v>
      </c>
      <c r="O184" s="263">
        <f t="shared" si="85"/>
        <v>-90</v>
      </c>
      <c r="P184" s="263">
        <f t="shared" si="85"/>
        <v>-115</v>
      </c>
      <c r="Q184" s="507"/>
      <c r="R184" s="263">
        <f>$Q$175-R$175</f>
        <v>-170</v>
      </c>
      <c r="S184" s="263">
        <f>$Q$175-S$175</f>
        <v>-195</v>
      </c>
      <c r="T184" s="264">
        <f>$Q$175-T$175</f>
        <v>-250</v>
      </c>
      <c r="U184" s="484"/>
      <c r="V184" s="117"/>
      <c r="W184" s="118"/>
      <c r="X184" s="100"/>
      <c r="Y184" s="100"/>
      <c r="Z184" s="419" t="s">
        <v>2</v>
      </c>
      <c r="AA184" s="649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100"/>
      <c r="AV184" s="100"/>
      <c r="AW184" s="100"/>
      <c r="AX184" s="100"/>
      <c r="AY184" s="100"/>
      <c r="AZ184" s="100"/>
    </row>
    <row r="185" spans="1:52" s="1" customFormat="1" ht="19.5" customHeight="1" collapsed="1" x14ac:dyDescent="0.25">
      <c r="A185" s="100"/>
      <c r="B185" s="114"/>
      <c r="C185" s="950"/>
      <c r="D185" s="951"/>
      <c r="E185" s="951"/>
      <c r="F185" s="951"/>
      <c r="G185" s="523"/>
      <c r="H185" s="148" t="s">
        <v>633</v>
      </c>
      <c r="I185" s="501">
        <f t="shared" ref="I185:P185" si="86">$R$175-I$175</f>
        <v>170</v>
      </c>
      <c r="J185" s="501">
        <f t="shared" si="86"/>
        <v>170</v>
      </c>
      <c r="K185" s="263">
        <f t="shared" si="86"/>
        <v>125</v>
      </c>
      <c r="L185" s="263">
        <f t="shared" si="86"/>
        <v>100</v>
      </c>
      <c r="M185" s="263">
        <f t="shared" si="86"/>
        <v>85</v>
      </c>
      <c r="N185" s="263">
        <f t="shared" si="86"/>
        <v>71</v>
      </c>
      <c r="O185" s="263">
        <f t="shared" si="86"/>
        <v>80</v>
      </c>
      <c r="P185" s="263">
        <f t="shared" si="86"/>
        <v>55</v>
      </c>
      <c r="Q185" s="263"/>
      <c r="R185" s="507">
        <f>$R$175-R$175</f>
        <v>0</v>
      </c>
      <c r="S185" s="263">
        <f>$R$175-S$175</f>
        <v>-25</v>
      </c>
      <c r="T185" s="264">
        <f>$R$175-T$175</f>
        <v>-80</v>
      </c>
      <c r="U185" s="484"/>
      <c r="V185" s="117"/>
      <c r="W185" s="118"/>
      <c r="X185" s="100"/>
      <c r="Y185" s="100"/>
      <c r="Z185" s="419" t="s">
        <v>2</v>
      </c>
      <c r="AA185" s="649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  <c r="AR185" s="100"/>
      <c r="AS185" s="100"/>
      <c r="AT185" s="100"/>
      <c r="AU185" s="100"/>
      <c r="AV185" s="100"/>
      <c r="AW185" s="100"/>
      <c r="AX185" s="100"/>
      <c r="AY185" s="100"/>
      <c r="AZ185" s="100"/>
    </row>
    <row r="186" spans="1:52" s="1" customFormat="1" ht="19.5" customHeight="1" x14ac:dyDescent="0.25">
      <c r="A186" s="100"/>
      <c r="B186" s="114"/>
      <c r="C186" s="950"/>
      <c r="D186" s="951"/>
      <c r="E186" s="951"/>
      <c r="F186" s="951"/>
      <c r="G186" s="523"/>
      <c r="H186" s="148" t="s">
        <v>634</v>
      </c>
      <c r="I186" s="501">
        <f t="shared" ref="I186:R186" si="87">$S$175-I$175</f>
        <v>195</v>
      </c>
      <c r="J186" s="501">
        <f t="shared" si="87"/>
        <v>195</v>
      </c>
      <c r="K186" s="263">
        <f t="shared" si="87"/>
        <v>150</v>
      </c>
      <c r="L186" s="263">
        <f t="shared" si="87"/>
        <v>125</v>
      </c>
      <c r="M186" s="263">
        <f t="shared" si="87"/>
        <v>110</v>
      </c>
      <c r="N186" s="263">
        <f t="shared" si="87"/>
        <v>96</v>
      </c>
      <c r="O186" s="263">
        <f t="shared" si="87"/>
        <v>105</v>
      </c>
      <c r="P186" s="263">
        <f t="shared" si="87"/>
        <v>80</v>
      </c>
      <c r="Q186" s="263"/>
      <c r="R186" s="263">
        <f t="shared" si="87"/>
        <v>25</v>
      </c>
      <c r="S186" s="507">
        <f>$S$175-S$175</f>
        <v>0</v>
      </c>
      <c r="T186" s="264">
        <f>$S$175-T$175</f>
        <v>-55</v>
      </c>
      <c r="U186" s="484"/>
      <c r="V186" s="117"/>
      <c r="W186" s="118"/>
      <c r="X186" s="100"/>
      <c r="Y186" s="100"/>
      <c r="Z186" s="419" t="s">
        <v>2</v>
      </c>
      <c r="AA186" s="649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100"/>
      <c r="AV186" s="100"/>
      <c r="AW186" s="100"/>
      <c r="AX186" s="100"/>
      <c r="AY186" s="100"/>
      <c r="AZ186" s="100"/>
    </row>
    <row r="187" spans="1:52" s="1" customFormat="1" ht="19.5" customHeight="1" thickBot="1" x14ac:dyDescent="0.3">
      <c r="A187" s="100"/>
      <c r="B187" s="114"/>
      <c r="C187" s="952"/>
      <c r="D187" s="953"/>
      <c r="E187" s="953"/>
      <c r="F187" s="953"/>
      <c r="G187" s="524"/>
      <c r="H187" s="149" t="str">
        <f>T3</f>
        <v>All-In</v>
      </c>
      <c r="I187" s="502">
        <f t="shared" ref="I187:S187" si="88">$T$175-I$175</f>
        <v>250</v>
      </c>
      <c r="J187" s="502">
        <f t="shared" si="88"/>
        <v>250</v>
      </c>
      <c r="K187" s="265">
        <f t="shared" si="88"/>
        <v>205</v>
      </c>
      <c r="L187" s="265">
        <f t="shared" si="88"/>
        <v>180</v>
      </c>
      <c r="M187" s="265">
        <f t="shared" si="88"/>
        <v>165</v>
      </c>
      <c r="N187" s="265">
        <f t="shared" si="88"/>
        <v>151</v>
      </c>
      <c r="O187" s="265">
        <f t="shared" si="88"/>
        <v>160</v>
      </c>
      <c r="P187" s="265">
        <f t="shared" si="88"/>
        <v>135</v>
      </c>
      <c r="Q187" s="265"/>
      <c r="R187" s="265">
        <f t="shared" si="88"/>
        <v>80</v>
      </c>
      <c r="S187" s="265">
        <f t="shared" si="88"/>
        <v>55</v>
      </c>
      <c r="T187" s="508">
        <f>$T$175-T$175</f>
        <v>0</v>
      </c>
      <c r="U187" s="484"/>
      <c r="V187" s="117"/>
      <c r="W187" s="118"/>
      <c r="X187" s="100"/>
      <c r="Y187" s="100"/>
      <c r="Z187" s="419" t="s">
        <v>2</v>
      </c>
      <c r="AA187" s="649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100"/>
      <c r="AV187" s="100"/>
      <c r="AW187" s="100"/>
      <c r="AX187" s="100"/>
      <c r="AY187" s="100"/>
      <c r="AZ187" s="100"/>
    </row>
    <row r="188" spans="1:52" s="1" customFormat="1" ht="15.75" thickBot="1" x14ac:dyDescent="0.3">
      <c r="A188" s="100"/>
      <c r="B188" s="114"/>
      <c r="C188" s="257"/>
      <c r="D188" s="258"/>
      <c r="E188" s="258"/>
      <c r="F188" s="258"/>
      <c r="G188" s="258"/>
      <c r="H188" s="257"/>
      <c r="I188" s="503"/>
      <c r="J188" s="503"/>
      <c r="K188" s="259"/>
      <c r="L188" s="259"/>
      <c r="M188" s="259"/>
      <c r="N188" s="259"/>
      <c r="O188" s="116"/>
      <c r="P188" s="116"/>
      <c r="Q188" s="116"/>
      <c r="R188" s="116"/>
      <c r="S188" s="116"/>
      <c r="T188" s="116"/>
      <c r="U188" s="484"/>
      <c r="V188" s="117"/>
      <c r="W188" s="118"/>
      <c r="X188" s="100"/>
      <c r="Y188" s="100"/>
      <c r="AA188" s="649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T188" s="100"/>
      <c r="AU188" s="100"/>
      <c r="AV188" s="100"/>
      <c r="AW188" s="100"/>
      <c r="AX188" s="100"/>
      <c r="AY188" s="100"/>
      <c r="AZ188" s="100"/>
    </row>
    <row r="189" spans="1:52" s="1" customFormat="1" ht="15.75" customHeight="1" thickBot="1" x14ac:dyDescent="0.35">
      <c r="A189" s="100"/>
      <c r="B189" s="954" t="s">
        <v>5</v>
      </c>
      <c r="C189" s="962" t="s">
        <v>177</v>
      </c>
      <c r="D189" s="963"/>
      <c r="E189" s="963"/>
      <c r="F189" s="963"/>
      <c r="G189" s="963"/>
      <c r="H189" s="964"/>
      <c r="I189" s="959">
        <f>SUMIF($B$8:$B$171,"x",$W$8:$W$171)</f>
        <v>0</v>
      </c>
      <c r="J189" s="960"/>
      <c r="K189" s="960"/>
      <c r="L189" s="960"/>
      <c r="M189" s="960"/>
      <c r="N189" s="960"/>
      <c r="O189" s="960"/>
      <c r="P189" s="960"/>
      <c r="Q189" s="960"/>
      <c r="R189" s="960"/>
      <c r="S189" s="960"/>
      <c r="T189" s="961"/>
      <c r="U189" s="119"/>
      <c r="V189" s="119"/>
      <c r="W189" s="120"/>
      <c r="X189" s="100"/>
      <c r="Y189" s="100"/>
      <c r="AA189" s="649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  <c r="AR189" s="100"/>
      <c r="AS189" s="100"/>
      <c r="AT189" s="100"/>
      <c r="AU189" s="100"/>
      <c r="AV189" s="100"/>
      <c r="AW189" s="100"/>
      <c r="AX189" s="100"/>
      <c r="AY189" s="100"/>
      <c r="AZ189" s="100"/>
    </row>
    <row r="190" spans="1:52" s="458" customFormat="1" ht="15.75" customHeight="1" thickBot="1" x14ac:dyDescent="0.35">
      <c r="A190" s="457"/>
      <c r="B190" s="955"/>
      <c r="C190" s="977" t="s">
        <v>368</v>
      </c>
      <c r="D190" s="978"/>
      <c r="E190" s="978"/>
      <c r="F190" s="978"/>
      <c r="G190" s="978"/>
      <c r="H190" s="979"/>
      <c r="I190" s="459">
        <f>I$7+SUMIFS($V$8:$V$171,$B$8:$B$171,"x",I$8:I$171,"Add-On")+SUMIFS($W$8:$W$171,$B$8:$B$171,"x",I$8:I$171,"Kauf nach CF")+SUMIFS($W$8:$W$171,$B$8:$B$171,"x",I$8:I$171,"nicht erhältlich")</f>
        <v>0</v>
      </c>
      <c r="J190" s="459">
        <f t="shared" ref="J190:P190" si="89">J$7+SUMIFS($V$8:$V$171,$B$8:$B$171,"x",J$8:J$171,"Add-On")+SUMIFS($W$8:$W$171,$B$8:$B$171,"x",J$8:J$171,"Kauf nach CF")</f>
        <v>0</v>
      </c>
      <c r="K190" s="459">
        <f t="shared" si="89"/>
        <v>45</v>
      </c>
      <c r="L190" s="459">
        <f t="shared" si="89"/>
        <v>70</v>
      </c>
      <c r="M190" s="459">
        <f t="shared" si="89"/>
        <v>85</v>
      </c>
      <c r="N190" s="459">
        <f t="shared" si="89"/>
        <v>99</v>
      </c>
      <c r="O190" s="459">
        <f t="shared" si="89"/>
        <v>90</v>
      </c>
      <c r="P190" s="459">
        <f t="shared" si="89"/>
        <v>115</v>
      </c>
      <c r="Q190" s="459"/>
      <c r="R190" s="459">
        <f>R$7+SUMIFS($V$8:$V$171,$B$8:$B$171,"x",R$8:R$171,"Add-On")+SUMIFS($W$8:$W$171,$B$8:$B$171,"x",R$8:R$171,"Kauf nach CF")</f>
        <v>170</v>
      </c>
      <c r="S190" s="459">
        <f>S$7+SUMIFS($V$8:$V$171,$B$8:$B$171,"x",S$8:S$171,"Add-On")+SUMIFS($W$8:$W$171,$B$8:$B$171,"x",S$8:S$171,"Kauf nach CF")</f>
        <v>195</v>
      </c>
      <c r="T190" s="460">
        <f>T$7+SUMIFS($V$8:$V$171,$B$8:$B$171,"x",T$8:T$171,"Add-On")+SUMIFS($W$8:$W$171,$B$8:$B$171,"x",T$8:T$171,"Kauf nach CF")</f>
        <v>250</v>
      </c>
      <c r="U190" s="461"/>
      <c r="V190" s="461"/>
      <c r="W190" s="462"/>
      <c r="X190" s="457"/>
      <c r="Y190" s="99"/>
      <c r="Z190" s="463" t="s">
        <v>2</v>
      </c>
      <c r="AA190" s="648"/>
      <c r="AB190" s="369"/>
      <c r="AC190" s="99"/>
      <c r="AD190" s="99"/>
      <c r="AE190" s="99"/>
      <c r="AF190" s="99"/>
      <c r="AG190" s="99"/>
      <c r="AH190" s="457"/>
      <c r="AI190" s="457"/>
      <c r="AJ190" s="99"/>
      <c r="AK190" s="457"/>
      <c r="AL190" s="457"/>
      <c r="AM190" s="99"/>
      <c r="AN190" s="457"/>
      <c r="AO190" s="457"/>
      <c r="AP190" s="457"/>
      <c r="AQ190" s="457"/>
      <c r="AR190" s="457"/>
      <c r="AS190" s="457"/>
      <c r="AT190" s="457"/>
      <c r="AU190" s="457"/>
      <c r="AV190" s="457"/>
      <c r="AW190" s="457"/>
      <c r="AX190" s="457"/>
      <c r="AY190" s="457"/>
      <c r="AZ190" s="457"/>
    </row>
    <row r="191" spans="1:52" s="1" customFormat="1" ht="15.75" customHeight="1" x14ac:dyDescent="0.3">
      <c r="A191" s="100"/>
      <c r="B191" s="955"/>
      <c r="C191" s="971" t="s">
        <v>409</v>
      </c>
      <c r="D191" s="972"/>
      <c r="E191" s="972"/>
      <c r="F191" s="972"/>
      <c r="G191" s="972"/>
      <c r="H191" s="973"/>
      <c r="I191" s="136">
        <f t="shared" ref="I191:T191" si="90">$I$189-I175</f>
        <v>0</v>
      </c>
      <c r="J191" s="136">
        <f t="shared" ref="J191" si="91">$I$189-J175</f>
        <v>0</v>
      </c>
      <c r="K191" s="136">
        <f t="shared" si="90"/>
        <v>-45</v>
      </c>
      <c r="L191" s="136">
        <f t="shared" si="90"/>
        <v>-70</v>
      </c>
      <c r="M191" s="136">
        <f t="shared" si="90"/>
        <v>-85</v>
      </c>
      <c r="N191" s="136">
        <f t="shared" si="90"/>
        <v>-99</v>
      </c>
      <c r="O191" s="136">
        <f t="shared" ref="O191:S191" si="92">$I$189-O175</f>
        <v>-90</v>
      </c>
      <c r="P191" s="136">
        <f t="shared" si="92"/>
        <v>-115</v>
      </c>
      <c r="Q191" s="136"/>
      <c r="R191" s="136">
        <f t="shared" si="92"/>
        <v>-170</v>
      </c>
      <c r="S191" s="136">
        <f t="shared" si="92"/>
        <v>-195</v>
      </c>
      <c r="T191" s="137">
        <f t="shared" si="90"/>
        <v>-250</v>
      </c>
      <c r="U191" s="119"/>
      <c r="V191" s="119"/>
      <c r="W191" s="120"/>
      <c r="X191" s="100"/>
      <c r="Y191" s="100"/>
      <c r="AA191" s="649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100"/>
      <c r="AV191" s="100"/>
      <c r="AW191" s="100"/>
      <c r="AX191" s="100"/>
      <c r="AY191" s="100"/>
      <c r="AZ191" s="100"/>
    </row>
    <row r="192" spans="1:52" s="1" customFormat="1" ht="15.75" customHeight="1" thickBot="1" x14ac:dyDescent="0.35">
      <c r="A192" s="100"/>
      <c r="B192" s="956"/>
      <c r="C192" s="974" t="s">
        <v>82</v>
      </c>
      <c r="D192" s="975"/>
      <c r="E192" s="975"/>
      <c r="F192" s="975"/>
      <c r="G192" s="975"/>
      <c r="H192" s="976"/>
      <c r="I192" s="134">
        <f t="shared" ref="I192:T192" si="93">IFERROR(I191/$I$189,)</f>
        <v>0</v>
      </c>
      <c r="J192" s="134">
        <f t="shared" ref="J192" si="94">IFERROR(J191/$I$189,)</f>
        <v>0</v>
      </c>
      <c r="K192" s="134">
        <f t="shared" si="93"/>
        <v>0</v>
      </c>
      <c r="L192" s="134">
        <f t="shared" si="93"/>
        <v>0</v>
      </c>
      <c r="M192" s="134">
        <f t="shared" si="93"/>
        <v>0</v>
      </c>
      <c r="N192" s="134">
        <f t="shared" ref="N192:O192" si="95">IFERROR(N191/$I$189,)</f>
        <v>0</v>
      </c>
      <c r="O192" s="134">
        <f t="shared" si="95"/>
        <v>0</v>
      </c>
      <c r="P192" s="134">
        <f t="shared" ref="P192:S192" si="96">IFERROR(P191/$I$189,)</f>
        <v>0</v>
      </c>
      <c r="Q192" s="134"/>
      <c r="R192" s="134">
        <f t="shared" si="96"/>
        <v>0</v>
      </c>
      <c r="S192" s="134">
        <f t="shared" si="96"/>
        <v>0</v>
      </c>
      <c r="T192" s="135">
        <f t="shared" si="93"/>
        <v>0</v>
      </c>
      <c r="U192" s="119"/>
      <c r="V192" s="119"/>
      <c r="W192" s="120"/>
      <c r="X192" s="100"/>
      <c r="Y192" s="100"/>
      <c r="AA192" s="649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100"/>
      <c r="AV192" s="100"/>
      <c r="AW192" s="100"/>
      <c r="AX192" s="100"/>
      <c r="AY192" s="100"/>
      <c r="AZ192" s="100"/>
    </row>
    <row r="193" spans="1:52" s="2" customFormat="1" ht="15.75" thickBot="1" x14ac:dyDescent="0.35">
      <c r="A193" s="95"/>
      <c r="B193" s="123"/>
      <c r="C193" s="95"/>
      <c r="D193" s="111"/>
      <c r="E193" s="111"/>
      <c r="F193" s="111"/>
      <c r="G193" s="111"/>
      <c r="H193" s="95"/>
      <c r="I193" s="485"/>
      <c r="J193" s="485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9"/>
      <c r="V193" s="107"/>
      <c r="W193" s="108"/>
      <c r="X193" s="95"/>
      <c r="Y193" s="95"/>
      <c r="AA193" s="644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</row>
    <row r="194" spans="1:52" s="1" customFormat="1" ht="18" customHeight="1" x14ac:dyDescent="0.3">
      <c r="A194" s="100"/>
      <c r="B194" s="957" t="s">
        <v>6</v>
      </c>
      <c r="C194" s="968" t="s">
        <v>410</v>
      </c>
      <c r="D194" s="969"/>
      <c r="E194" s="969"/>
      <c r="F194" s="969"/>
      <c r="G194" s="969"/>
      <c r="H194" s="970"/>
      <c r="I194" s="509">
        <f t="shared" ref="I194:P194" si="97">SUMIFS($W$8:$W$171,$B$8:$B$171,"",I$8:I$171,"µ")</f>
        <v>0</v>
      </c>
      <c r="J194" s="509">
        <f t="shared" si="97"/>
        <v>3.99</v>
      </c>
      <c r="K194" s="509">
        <f t="shared" si="97"/>
        <v>75.929999999999993</v>
      </c>
      <c r="L194" s="509">
        <f t="shared" si="97"/>
        <v>100.92999999999999</v>
      </c>
      <c r="M194" s="509">
        <f t="shared" si="97"/>
        <v>166.80000000000004</v>
      </c>
      <c r="N194" s="509">
        <f t="shared" si="97"/>
        <v>135.91</v>
      </c>
      <c r="O194" s="509">
        <f t="shared" si="97"/>
        <v>182.80000000000004</v>
      </c>
      <c r="P194" s="509">
        <f t="shared" si="97"/>
        <v>207.80000000000004</v>
      </c>
      <c r="Q194" s="509"/>
      <c r="R194" s="509">
        <f>SUMIFS($W$8:$W$171,$B$8:$B$171,"",R$8:R$171,"µ")</f>
        <v>331.48</v>
      </c>
      <c r="S194" s="509">
        <f>SUMIFS($W$8:$W$171,$B$8:$B$171,"",S$8:S$171,"µ")</f>
        <v>356.48</v>
      </c>
      <c r="T194" s="510">
        <f>SUMIFS($W$8:$W$171,$B$8:$B$171,"",T$8:T$171,"µ")</f>
        <v>465.31</v>
      </c>
      <c r="U194" s="119"/>
      <c r="V194" s="119"/>
      <c r="W194" s="120"/>
      <c r="X194" s="100"/>
      <c r="Y194" s="100"/>
      <c r="AA194" s="649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100"/>
      <c r="AV194" s="100"/>
      <c r="AW194" s="100"/>
      <c r="AX194" s="100"/>
      <c r="AY194" s="100"/>
      <c r="AZ194" s="100"/>
    </row>
    <row r="195" spans="1:52" s="1" customFormat="1" ht="15.75" thickBot="1" x14ac:dyDescent="0.35">
      <c r="A195" s="100"/>
      <c r="B195" s="958"/>
      <c r="C195" s="965" t="s">
        <v>411</v>
      </c>
      <c r="D195" s="966"/>
      <c r="E195" s="966"/>
      <c r="F195" s="966"/>
      <c r="G195" s="966"/>
      <c r="H195" s="967"/>
      <c r="I195" s="159">
        <f t="shared" ref="I195:L195" si="98">$I$189+I194</f>
        <v>0</v>
      </c>
      <c r="J195" s="159">
        <f t="shared" ref="J195" si="99">$I$189+J194</f>
        <v>3.99</v>
      </c>
      <c r="K195" s="159">
        <f t="shared" si="98"/>
        <v>75.929999999999993</v>
      </c>
      <c r="L195" s="159">
        <f t="shared" si="98"/>
        <v>100.92999999999999</v>
      </c>
      <c r="M195" s="159">
        <f t="shared" ref="M195" si="100">$I$189+M194</f>
        <v>166.80000000000004</v>
      </c>
      <c r="N195" s="159">
        <f t="shared" ref="N195:O195" si="101">$I$189+N194</f>
        <v>135.91</v>
      </c>
      <c r="O195" s="159">
        <f t="shared" si="101"/>
        <v>182.80000000000004</v>
      </c>
      <c r="P195" s="159">
        <f t="shared" ref="P195:S195" si="102">$I$189+P194</f>
        <v>207.80000000000004</v>
      </c>
      <c r="Q195" s="159"/>
      <c r="R195" s="159">
        <f t="shared" si="102"/>
        <v>331.48</v>
      </c>
      <c r="S195" s="159">
        <f t="shared" si="102"/>
        <v>356.48</v>
      </c>
      <c r="T195" s="160">
        <f>$I$189+T194</f>
        <v>465.31</v>
      </c>
      <c r="U195" s="119"/>
      <c r="V195" s="119"/>
      <c r="W195" s="120"/>
      <c r="X195" s="100"/>
      <c r="Y195" s="100"/>
      <c r="AA195" s="649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  <c r="AR195" s="100"/>
      <c r="AS195" s="100"/>
      <c r="AT195" s="100"/>
      <c r="AU195" s="100"/>
      <c r="AV195" s="100"/>
      <c r="AW195" s="100"/>
      <c r="AX195" s="100"/>
      <c r="AY195" s="100"/>
      <c r="AZ195" s="100"/>
    </row>
    <row r="196" spans="1:52" s="1" customFormat="1" x14ac:dyDescent="0.3">
      <c r="A196" s="100"/>
      <c r="B196" s="957" t="s">
        <v>83</v>
      </c>
      <c r="C196" s="968" t="s">
        <v>412</v>
      </c>
      <c r="D196" s="969"/>
      <c r="E196" s="969"/>
      <c r="F196" s="969"/>
      <c r="G196" s="969"/>
      <c r="H196" s="970"/>
      <c r="I196" s="161">
        <f t="shared" ref="I196:T196" si="103">I195-I175</f>
        <v>0</v>
      </c>
      <c r="J196" s="161">
        <f t="shared" si="103"/>
        <v>3.99</v>
      </c>
      <c r="K196" s="161">
        <f t="shared" si="103"/>
        <v>30.929999999999993</v>
      </c>
      <c r="L196" s="161">
        <f t="shared" si="103"/>
        <v>30.929999999999993</v>
      </c>
      <c r="M196" s="161">
        <f t="shared" si="103"/>
        <v>81.80000000000004</v>
      </c>
      <c r="N196" s="161">
        <f t="shared" si="103"/>
        <v>36.909999999999997</v>
      </c>
      <c r="O196" s="161">
        <f t="shared" ref="O196:S196" si="104">O195-O175</f>
        <v>92.80000000000004</v>
      </c>
      <c r="P196" s="161">
        <f t="shared" si="104"/>
        <v>92.80000000000004</v>
      </c>
      <c r="Q196" s="161"/>
      <c r="R196" s="161">
        <f t="shared" si="104"/>
        <v>161.48000000000002</v>
      </c>
      <c r="S196" s="161">
        <f t="shared" si="104"/>
        <v>161.48000000000002</v>
      </c>
      <c r="T196" s="162">
        <f t="shared" si="103"/>
        <v>215.31</v>
      </c>
      <c r="U196" s="119"/>
      <c r="V196" s="119"/>
      <c r="W196" s="120"/>
      <c r="X196" s="100"/>
      <c r="Y196" s="100"/>
      <c r="AA196" s="649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  <c r="AR196" s="100"/>
      <c r="AS196" s="100"/>
      <c r="AT196" s="100"/>
      <c r="AU196" s="100"/>
      <c r="AV196" s="100"/>
      <c r="AW196" s="100"/>
      <c r="AX196" s="100"/>
      <c r="AY196" s="100"/>
      <c r="AZ196" s="100"/>
    </row>
    <row r="197" spans="1:52" s="1" customFormat="1" ht="15.75" thickBot="1" x14ac:dyDescent="0.35">
      <c r="A197" s="100"/>
      <c r="B197" s="958"/>
      <c r="C197" s="965" t="s">
        <v>82</v>
      </c>
      <c r="D197" s="966"/>
      <c r="E197" s="966"/>
      <c r="F197" s="966"/>
      <c r="G197" s="966"/>
      <c r="H197" s="967"/>
      <c r="I197" s="163">
        <f>IFERROR(I196/I195,)</f>
        <v>0</v>
      </c>
      <c r="J197" s="163">
        <f t="shared" ref="J197" si="105">IFERROR(J196/J195,)</f>
        <v>1</v>
      </c>
      <c r="K197" s="163">
        <f t="shared" ref="K197:L197" si="106">IFERROR(K196/K195,)</f>
        <v>0.40734887396286046</v>
      </c>
      <c r="L197" s="163">
        <f t="shared" si="106"/>
        <v>0.30645001486178536</v>
      </c>
      <c r="M197" s="163">
        <f t="shared" ref="M197" si="107">IFERROR(M196/M195,)</f>
        <v>0.49040767386091139</v>
      </c>
      <c r="N197" s="163">
        <f t="shared" ref="N197:O197" si="108">IFERROR(N196/N195,)</f>
        <v>0.27157677875064379</v>
      </c>
      <c r="O197" s="163">
        <f t="shared" si="108"/>
        <v>0.50765864332603949</v>
      </c>
      <c r="P197" s="163">
        <f t="shared" ref="P197:S197" si="109">IFERROR(P196/P195,)</f>
        <v>0.44658325312800778</v>
      </c>
      <c r="Q197" s="163"/>
      <c r="R197" s="163">
        <f t="shared" si="109"/>
        <v>0.48714854591528906</v>
      </c>
      <c r="S197" s="163">
        <f t="shared" si="109"/>
        <v>0.45298473967684022</v>
      </c>
      <c r="T197" s="164">
        <f t="shared" ref="T197" si="110">IFERROR(T196/T195,)</f>
        <v>0.46272377554748445</v>
      </c>
      <c r="U197" s="119"/>
      <c r="V197" s="119"/>
      <c r="W197" s="120"/>
      <c r="X197" s="100"/>
      <c r="Y197" s="100"/>
      <c r="AA197" s="649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  <c r="AR197" s="100"/>
      <c r="AS197" s="100"/>
      <c r="AT197" s="100"/>
      <c r="AU197" s="100"/>
      <c r="AV197" s="100"/>
      <c r="AW197" s="100"/>
      <c r="AX197" s="100"/>
      <c r="AY197" s="100"/>
      <c r="AZ197" s="100"/>
    </row>
    <row r="198" spans="1:52" s="2" customFormat="1" x14ac:dyDescent="0.3">
      <c r="A198" s="95"/>
      <c r="B198" s="123"/>
      <c r="C198" s="95"/>
      <c r="D198" s="111"/>
      <c r="E198" s="111"/>
      <c r="F198" s="111"/>
      <c r="G198" s="111"/>
      <c r="H198" s="95"/>
      <c r="I198" s="485"/>
      <c r="J198" s="485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485"/>
      <c r="V198" s="111"/>
      <c r="W198" s="108"/>
      <c r="X198" s="95"/>
      <c r="Y198" s="95"/>
      <c r="AA198" s="644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</row>
    <row r="199" spans="1:52" s="2" customFormat="1" collapsed="1" x14ac:dyDescent="0.3">
      <c r="A199" s="101"/>
      <c r="B199" s="95"/>
      <c r="C199" s="95"/>
      <c r="D199" s="111"/>
      <c r="E199" s="111"/>
      <c r="F199" s="111"/>
      <c r="G199" s="111"/>
      <c r="H199" s="95"/>
      <c r="I199" s="485"/>
      <c r="J199" s="485"/>
      <c r="K199" s="111"/>
      <c r="L199" s="111"/>
      <c r="M199" s="111"/>
      <c r="N199" s="111"/>
      <c r="O199" s="111"/>
      <c r="P199" s="111"/>
      <c r="Q199" s="124"/>
      <c r="R199" s="121"/>
      <c r="S199" s="109"/>
      <c r="T199" s="111"/>
      <c r="U199" s="485"/>
      <c r="V199" s="111"/>
      <c r="W199" s="122"/>
      <c r="X199" s="95"/>
      <c r="Y199" s="95"/>
      <c r="AA199" s="644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</row>
    <row r="200" spans="1:52" s="2" customFormat="1" ht="19.5" hidden="1" customHeight="1" outlineLevel="1" thickBot="1" x14ac:dyDescent="0.35">
      <c r="A200" s="95"/>
      <c r="B200" s="126" t="s">
        <v>7</v>
      </c>
      <c r="C200" s="95"/>
      <c r="D200" s="111"/>
      <c r="E200" s="111"/>
      <c r="F200" s="111"/>
      <c r="G200" s="111"/>
      <c r="H200" s="95"/>
      <c r="I200" s="485"/>
      <c r="J200" s="485"/>
      <c r="K200" s="111"/>
      <c r="L200" s="111"/>
      <c r="M200" s="111"/>
      <c r="N200" s="111"/>
      <c r="O200" s="111"/>
      <c r="P200" s="111"/>
      <c r="Q200" s="111"/>
      <c r="R200" s="124"/>
      <c r="S200" s="111"/>
      <c r="T200" s="111"/>
      <c r="U200" s="119"/>
      <c r="V200" s="107"/>
      <c r="W200" s="95"/>
      <c r="X200" s="95"/>
      <c r="Y200" s="95"/>
      <c r="AA200" s="644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</row>
    <row r="201" spans="1:52" s="2" customFormat="1" ht="19.5" hidden="1" customHeight="1" outlineLevel="1" thickBot="1" x14ac:dyDescent="0.35">
      <c r="A201" s="95"/>
      <c r="B201" s="126"/>
      <c r="C201" s="95"/>
      <c r="D201" s="111"/>
      <c r="E201" s="111"/>
      <c r="F201" s="111"/>
      <c r="G201" s="111"/>
      <c r="H201" s="95"/>
      <c r="I201" s="485"/>
      <c r="J201" s="485"/>
      <c r="K201" s="111"/>
      <c r="L201" s="111"/>
      <c r="M201" s="111"/>
      <c r="N201" s="111"/>
      <c r="O201" s="111"/>
      <c r="P201" s="111"/>
      <c r="Q201" s="111"/>
      <c r="R201" s="124"/>
      <c r="S201" s="111"/>
      <c r="T201" s="111"/>
      <c r="U201" s="119"/>
      <c r="V201" s="107"/>
      <c r="W201" s="95"/>
      <c r="X201" s="95"/>
      <c r="Y201" s="95"/>
      <c r="AA201" s="644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</row>
    <row r="202" spans="1:52" s="2" customFormat="1" collapsed="1" x14ac:dyDescent="0.3">
      <c r="A202" s="95"/>
      <c r="B202" s="101"/>
      <c r="C202" s="95"/>
      <c r="D202" s="111"/>
      <c r="E202" s="111"/>
      <c r="F202" s="111"/>
      <c r="G202" s="111"/>
      <c r="H202" s="95"/>
      <c r="I202" s="485"/>
      <c r="J202" s="485"/>
      <c r="K202" s="111"/>
      <c r="L202" s="111"/>
      <c r="M202" s="111"/>
      <c r="N202" s="111"/>
      <c r="O202" s="111"/>
      <c r="P202" s="111"/>
      <c r="Q202" s="111"/>
      <c r="R202" s="124"/>
      <c r="S202" s="111"/>
      <c r="T202" s="111"/>
      <c r="U202" s="119"/>
      <c r="V202" s="107"/>
      <c r="W202" s="95"/>
      <c r="X202" s="95"/>
      <c r="Y202" s="95"/>
      <c r="AA202" s="644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</row>
    <row r="203" spans="1:52" s="2" customFormat="1" x14ac:dyDescent="0.3">
      <c r="A203" s="95"/>
      <c r="B203" s="101"/>
      <c r="C203" s="95"/>
      <c r="D203" s="111"/>
      <c r="E203" s="111"/>
      <c r="F203" s="111"/>
      <c r="G203" s="111"/>
      <c r="H203" s="95"/>
      <c r="I203" s="485"/>
      <c r="J203" s="485"/>
      <c r="K203" s="111"/>
      <c r="L203" s="111"/>
      <c r="M203" s="111"/>
      <c r="N203" s="111"/>
      <c r="O203" s="111"/>
      <c r="P203" s="111"/>
      <c r="Q203" s="111"/>
      <c r="R203" s="124"/>
      <c r="S203" s="111"/>
      <c r="T203" s="111"/>
      <c r="U203" s="119"/>
      <c r="V203" s="107"/>
      <c r="W203" s="95"/>
      <c r="X203" s="95"/>
      <c r="Y203" s="95"/>
      <c r="AA203" s="644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</row>
    <row r="204" spans="1:52" s="2" customFormat="1" x14ac:dyDescent="0.3">
      <c r="A204" s="95"/>
      <c r="B204" s="101"/>
      <c r="C204" s="95"/>
      <c r="D204" s="111"/>
      <c r="E204" s="111"/>
      <c r="F204" s="111"/>
      <c r="G204" s="111"/>
      <c r="H204" s="95"/>
      <c r="I204" s="485"/>
      <c r="J204" s="485"/>
      <c r="K204" s="111"/>
      <c r="L204" s="111"/>
      <c r="M204" s="111"/>
      <c r="N204" s="111"/>
      <c r="O204" s="111"/>
      <c r="P204" s="111"/>
      <c r="Q204" s="111"/>
      <c r="R204" s="124"/>
      <c r="S204" s="111"/>
      <c r="T204" s="111"/>
      <c r="U204" s="119"/>
      <c r="V204" s="107"/>
      <c r="W204" s="95"/>
      <c r="X204" s="95"/>
      <c r="Y204" s="95"/>
      <c r="AA204" s="644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</row>
    <row r="205" spans="1:52" s="2" customFormat="1" x14ac:dyDescent="0.3">
      <c r="A205" s="95"/>
      <c r="B205" s="101"/>
      <c r="C205" s="95"/>
      <c r="D205" s="111"/>
      <c r="E205" s="111"/>
      <c r="F205" s="111"/>
      <c r="G205" s="111"/>
      <c r="H205" s="95"/>
      <c r="I205" s="485"/>
      <c r="J205" s="485"/>
      <c r="K205" s="111"/>
      <c r="L205" s="111"/>
      <c r="M205" s="111"/>
      <c r="N205" s="111"/>
      <c r="O205" s="111"/>
      <c r="P205" s="111"/>
      <c r="Q205" s="111"/>
      <c r="R205" s="124"/>
      <c r="S205" s="111"/>
      <c r="T205" s="111"/>
      <c r="U205" s="119"/>
      <c r="V205" s="107"/>
      <c r="W205" s="95"/>
      <c r="X205" s="95"/>
      <c r="Y205" s="95"/>
      <c r="AA205" s="644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</row>
    <row r="206" spans="1:52" s="2" customFormat="1" x14ac:dyDescent="0.3">
      <c r="A206" s="95"/>
      <c r="B206" s="101"/>
      <c r="C206" s="95"/>
      <c r="D206" s="111"/>
      <c r="E206" s="111"/>
      <c r="F206" s="111"/>
      <c r="G206" s="111"/>
      <c r="H206" s="95"/>
      <c r="I206" s="485"/>
      <c r="J206" s="485"/>
      <c r="K206" s="111"/>
      <c r="L206" s="111"/>
      <c r="M206" s="111"/>
      <c r="N206" s="111"/>
      <c r="O206" s="111"/>
      <c r="P206" s="111"/>
      <c r="Q206" s="111"/>
      <c r="R206" s="124"/>
      <c r="S206" s="111"/>
      <c r="T206" s="111"/>
      <c r="U206" s="119"/>
      <c r="V206" s="107"/>
      <c r="W206" s="95"/>
      <c r="X206" s="95"/>
      <c r="Y206" s="95"/>
      <c r="AA206" s="644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</row>
    <row r="207" spans="1:52" s="2" customFormat="1" x14ac:dyDescent="0.3">
      <c r="A207" s="95"/>
      <c r="B207" s="101"/>
      <c r="C207" s="95"/>
      <c r="D207" s="111"/>
      <c r="E207" s="111"/>
      <c r="F207" s="111"/>
      <c r="G207" s="111"/>
      <c r="H207" s="95"/>
      <c r="I207" s="485"/>
      <c r="J207" s="485"/>
      <c r="K207" s="111"/>
      <c r="L207" s="111"/>
      <c r="M207" s="111"/>
      <c r="N207" s="111"/>
      <c r="O207" s="111"/>
      <c r="P207" s="111"/>
      <c r="Q207" s="111"/>
      <c r="R207" s="124"/>
      <c r="S207" s="111"/>
      <c r="T207" s="111"/>
      <c r="U207" s="119"/>
      <c r="V207" s="107"/>
      <c r="W207" s="95"/>
      <c r="X207" s="95"/>
      <c r="Y207" s="95"/>
      <c r="AA207" s="644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</row>
    <row r="208" spans="1:52" s="2" customFormat="1" x14ac:dyDescent="0.3">
      <c r="A208" s="95"/>
      <c r="B208" s="101"/>
      <c r="C208" s="95"/>
      <c r="D208" s="111"/>
      <c r="E208" s="111"/>
      <c r="F208" s="111"/>
      <c r="G208" s="111"/>
      <c r="H208" s="95"/>
      <c r="I208" s="485"/>
      <c r="J208" s="485"/>
      <c r="K208" s="111"/>
      <c r="L208" s="111"/>
      <c r="M208" s="111"/>
      <c r="N208" s="111"/>
      <c r="O208" s="111"/>
      <c r="P208" s="111"/>
      <c r="Q208" s="111"/>
      <c r="R208" s="124"/>
      <c r="S208" s="111"/>
      <c r="T208" s="111"/>
      <c r="U208" s="119"/>
      <c r="V208" s="107"/>
      <c r="W208" s="95"/>
      <c r="X208" s="95"/>
      <c r="Y208" s="95"/>
      <c r="AA208" s="644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</row>
    <row r="209" spans="1:52" s="2" customFormat="1" x14ac:dyDescent="0.3">
      <c r="A209" s="95"/>
      <c r="B209" s="101"/>
      <c r="C209" s="95"/>
      <c r="D209" s="111"/>
      <c r="E209" s="111"/>
      <c r="F209" s="111"/>
      <c r="G209" s="111"/>
      <c r="H209" s="95"/>
      <c r="I209" s="485"/>
      <c r="J209" s="485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9"/>
      <c r="V209" s="107"/>
      <c r="W209" s="95"/>
      <c r="X209" s="95"/>
      <c r="Y209" s="95"/>
      <c r="AA209" s="644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</row>
    <row r="210" spans="1:52" s="2" customFormat="1" x14ac:dyDescent="0.3">
      <c r="A210" s="95"/>
      <c r="B210" s="101"/>
      <c r="C210" s="95"/>
      <c r="D210" s="111"/>
      <c r="E210" s="111"/>
      <c r="F210" s="111"/>
      <c r="G210" s="111"/>
      <c r="H210" s="95"/>
      <c r="I210" s="485"/>
      <c r="J210" s="485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9"/>
      <c r="V210" s="107"/>
      <c r="W210" s="95"/>
      <c r="X210" s="95"/>
      <c r="Y210" s="95"/>
      <c r="AA210" s="644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</row>
    <row r="211" spans="1:52" s="2" customFormat="1" x14ac:dyDescent="0.3">
      <c r="A211" s="95"/>
      <c r="B211" s="101"/>
      <c r="C211" s="95"/>
      <c r="D211" s="111"/>
      <c r="E211" s="111"/>
      <c r="F211" s="111"/>
      <c r="G211" s="111"/>
      <c r="H211" s="95"/>
      <c r="I211" s="485"/>
      <c r="J211" s="485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9"/>
      <c r="V211" s="107"/>
      <c r="W211" s="95"/>
      <c r="X211" s="95"/>
      <c r="Y211" s="95"/>
      <c r="AA211" s="644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</row>
    <row r="212" spans="1:52" s="2" customFormat="1" x14ac:dyDescent="0.3">
      <c r="A212" s="95"/>
      <c r="B212" s="101"/>
      <c r="C212" s="95"/>
      <c r="D212" s="111"/>
      <c r="E212" s="111"/>
      <c r="F212" s="111"/>
      <c r="G212" s="111"/>
      <c r="H212" s="95"/>
      <c r="I212" s="485"/>
      <c r="J212" s="485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9"/>
      <c r="V212" s="107"/>
      <c r="W212" s="95"/>
      <c r="X212" s="95"/>
      <c r="Y212" s="95"/>
      <c r="AA212" s="644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</row>
    <row r="213" spans="1:52" s="2" customFormat="1" x14ac:dyDescent="0.3">
      <c r="A213" s="95"/>
      <c r="B213" s="101"/>
      <c r="C213" s="95"/>
      <c r="D213" s="111"/>
      <c r="E213" s="111"/>
      <c r="F213" s="111"/>
      <c r="G213" s="111"/>
      <c r="H213" s="95"/>
      <c r="I213" s="485"/>
      <c r="J213" s="485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9"/>
      <c r="V213" s="107"/>
      <c r="W213" s="95"/>
      <c r="X213" s="95"/>
      <c r="Y213" s="95"/>
      <c r="AA213" s="644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</row>
    <row r="214" spans="1:52" s="2" customFormat="1" x14ac:dyDescent="0.3">
      <c r="A214" s="95"/>
      <c r="B214" s="101"/>
      <c r="C214" s="95"/>
      <c r="D214" s="111"/>
      <c r="E214" s="111"/>
      <c r="F214" s="111"/>
      <c r="G214" s="111"/>
      <c r="H214" s="95"/>
      <c r="I214" s="485"/>
      <c r="J214" s="485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9"/>
      <c r="V214" s="107"/>
      <c r="W214" s="95"/>
      <c r="X214" s="95"/>
      <c r="Y214" s="95"/>
      <c r="AA214" s="644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</row>
    <row r="215" spans="1:52" s="2" customFormat="1" x14ac:dyDescent="0.3">
      <c r="A215" s="95"/>
      <c r="B215" s="101"/>
      <c r="C215" s="95"/>
      <c r="D215" s="111"/>
      <c r="E215" s="111"/>
      <c r="F215" s="111"/>
      <c r="G215" s="111"/>
      <c r="H215" s="95"/>
      <c r="I215" s="485"/>
      <c r="J215" s="485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9"/>
      <c r="V215" s="107"/>
      <c r="W215" s="95"/>
      <c r="X215" s="95"/>
      <c r="Y215" s="95"/>
      <c r="AA215" s="644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</row>
    <row r="216" spans="1:52" s="2" customFormat="1" x14ac:dyDescent="0.3">
      <c r="A216" s="95"/>
      <c r="B216" s="101"/>
      <c r="C216" s="95"/>
      <c r="D216" s="111"/>
      <c r="E216" s="111"/>
      <c r="F216" s="111"/>
      <c r="G216" s="111"/>
      <c r="H216" s="95"/>
      <c r="I216" s="485"/>
      <c r="J216" s="485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9"/>
      <c r="V216" s="107"/>
      <c r="W216" s="108"/>
      <c r="X216" s="95"/>
      <c r="Y216" s="95"/>
      <c r="AA216" s="644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</row>
    <row r="217" spans="1:52" s="2" customFormat="1" x14ac:dyDescent="0.3">
      <c r="A217" s="95"/>
      <c r="B217" s="101"/>
      <c r="C217" s="95"/>
      <c r="D217" s="111"/>
      <c r="E217" s="111"/>
      <c r="F217" s="111"/>
      <c r="G217" s="111"/>
      <c r="H217" s="95"/>
      <c r="I217" s="485"/>
      <c r="J217" s="485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9"/>
      <c r="V217" s="107"/>
      <c r="W217" s="108"/>
      <c r="X217" s="95"/>
      <c r="Y217" s="95"/>
      <c r="AA217" s="644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</row>
    <row r="218" spans="1:52" s="2" customFormat="1" x14ac:dyDescent="0.3">
      <c r="A218" s="95"/>
      <c r="B218" s="101"/>
      <c r="C218" s="95"/>
      <c r="D218" s="111"/>
      <c r="E218" s="111"/>
      <c r="F218" s="111"/>
      <c r="G218" s="111"/>
      <c r="H218" s="95"/>
      <c r="I218" s="485"/>
      <c r="J218" s="485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9"/>
      <c r="V218" s="107"/>
      <c r="W218" s="108"/>
      <c r="X218" s="95"/>
      <c r="Y218" s="95"/>
      <c r="AA218" s="644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</row>
    <row r="219" spans="1:52" s="2" customFormat="1" x14ac:dyDescent="0.3">
      <c r="A219" s="95"/>
      <c r="B219" s="101"/>
      <c r="C219" s="95"/>
      <c r="D219" s="111"/>
      <c r="E219" s="111"/>
      <c r="F219" s="111"/>
      <c r="G219" s="111"/>
      <c r="H219" s="95"/>
      <c r="I219" s="485"/>
      <c r="J219" s="485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9"/>
      <c r="V219" s="107"/>
      <c r="W219" s="108"/>
      <c r="X219" s="95"/>
      <c r="Y219" s="95"/>
      <c r="AA219" s="644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</row>
    <row r="220" spans="1:52" s="2" customFormat="1" x14ac:dyDescent="0.3">
      <c r="A220" s="95"/>
      <c r="B220" s="101"/>
      <c r="C220" s="95"/>
      <c r="D220" s="111"/>
      <c r="E220" s="111"/>
      <c r="F220" s="111"/>
      <c r="G220" s="111"/>
      <c r="H220" s="95"/>
      <c r="I220" s="485"/>
      <c r="J220" s="485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9"/>
      <c r="V220" s="107"/>
      <c r="W220" s="108"/>
      <c r="X220" s="95"/>
      <c r="Y220" s="95"/>
      <c r="AA220" s="644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</row>
    <row r="221" spans="1:52" s="2" customFormat="1" x14ac:dyDescent="0.3">
      <c r="A221" s="95"/>
      <c r="B221" s="101"/>
      <c r="C221" s="95"/>
      <c r="D221" s="111"/>
      <c r="E221" s="111"/>
      <c r="F221" s="111"/>
      <c r="G221" s="111"/>
      <c r="H221" s="95"/>
      <c r="I221" s="485"/>
      <c r="J221" s="485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9"/>
      <c r="V221" s="107"/>
      <c r="W221" s="108"/>
      <c r="X221" s="95"/>
      <c r="Y221" s="95"/>
      <c r="AA221" s="644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</row>
    <row r="222" spans="1:52" s="2" customFormat="1" x14ac:dyDescent="0.3">
      <c r="A222" s="95"/>
      <c r="B222" s="101"/>
      <c r="C222" s="95"/>
      <c r="D222" s="111"/>
      <c r="E222" s="111"/>
      <c r="F222" s="111"/>
      <c r="G222" s="111"/>
      <c r="H222" s="95"/>
      <c r="I222" s="485"/>
      <c r="J222" s="485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9"/>
      <c r="V222" s="107"/>
      <c r="W222" s="108"/>
      <c r="X222" s="95"/>
      <c r="Y222" s="95"/>
      <c r="AA222" s="644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</row>
    <row r="223" spans="1:52" s="2" customFormat="1" x14ac:dyDescent="0.3">
      <c r="A223" s="95"/>
      <c r="B223" s="101"/>
      <c r="C223" s="95"/>
      <c r="D223" s="111"/>
      <c r="E223" s="111"/>
      <c r="F223" s="111"/>
      <c r="G223" s="111"/>
      <c r="H223" s="95"/>
      <c r="I223" s="485"/>
      <c r="J223" s="485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9"/>
      <c r="V223" s="107"/>
      <c r="W223" s="108"/>
      <c r="X223" s="95"/>
      <c r="Y223" s="95"/>
      <c r="AA223" s="644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</row>
    <row r="224" spans="1:52" s="2" customFormat="1" x14ac:dyDescent="0.3">
      <c r="A224" s="95"/>
      <c r="B224" s="101"/>
      <c r="C224" s="95"/>
      <c r="D224" s="111"/>
      <c r="E224" s="111"/>
      <c r="F224" s="111"/>
      <c r="G224" s="111"/>
      <c r="H224" s="95"/>
      <c r="I224" s="485"/>
      <c r="J224" s="485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9"/>
      <c r="V224" s="107"/>
      <c r="W224" s="108"/>
      <c r="X224" s="95"/>
      <c r="Y224" s="95"/>
      <c r="AA224" s="644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</row>
    <row r="225" spans="1:52" s="2" customFormat="1" x14ac:dyDescent="0.3">
      <c r="A225" s="95"/>
      <c r="B225" s="101"/>
      <c r="C225" s="95"/>
      <c r="D225" s="111"/>
      <c r="E225" s="111"/>
      <c r="F225" s="111"/>
      <c r="G225" s="111"/>
      <c r="H225" s="95"/>
      <c r="I225" s="485"/>
      <c r="J225" s="485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9"/>
      <c r="V225" s="107"/>
      <c r="W225" s="108"/>
      <c r="X225" s="95"/>
      <c r="Y225" s="95"/>
      <c r="AA225" s="644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</row>
    <row r="226" spans="1:52" s="2" customFormat="1" x14ac:dyDescent="0.3">
      <c r="A226" s="95"/>
      <c r="B226" s="101"/>
      <c r="C226" s="95"/>
      <c r="D226" s="111"/>
      <c r="E226" s="111"/>
      <c r="F226" s="111"/>
      <c r="G226" s="111"/>
      <c r="H226" s="95"/>
      <c r="I226" s="485"/>
      <c r="J226" s="485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9"/>
      <c r="V226" s="107"/>
      <c r="W226" s="108"/>
      <c r="X226" s="95"/>
      <c r="Y226" s="95"/>
      <c r="AA226" s="644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</row>
    <row r="227" spans="1:52" s="2" customFormat="1" x14ac:dyDescent="0.3">
      <c r="A227" s="95"/>
      <c r="B227" s="101"/>
      <c r="C227" s="95"/>
      <c r="D227" s="111"/>
      <c r="E227" s="111"/>
      <c r="F227" s="111"/>
      <c r="G227" s="111"/>
      <c r="H227" s="95"/>
      <c r="I227" s="485"/>
      <c r="J227" s="485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9"/>
      <c r="V227" s="107"/>
      <c r="W227" s="108"/>
      <c r="X227" s="95"/>
      <c r="Y227" s="95"/>
      <c r="AA227" s="644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</row>
    <row r="228" spans="1:52" s="2" customFormat="1" x14ac:dyDescent="0.3">
      <c r="A228" s="95"/>
      <c r="B228" s="101"/>
      <c r="C228" s="95"/>
      <c r="D228" s="111"/>
      <c r="E228" s="111"/>
      <c r="F228" s="111"/>
      <c r="G228" s="111"/>
      <c r="H228" s="95"/>
      <c r="I228" s="485"/>
      <c r="J228" s="485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9"/>
      <c r="V228" s="107"/>
      <c r="W228" s="108"/>
      <c r="X228" s="95"/>
      <c r="Y228" s="95"/>
      <c r="AA228" s="644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</row>
    <row r="229" spans="1:52" s="2" customFormat="1" x14ac:dyDescent="0.3">
      <c r="A229" s="95"/>
      <c r="B229" s="101"/>
      <c r="C229" s="95"/>
      <c r="D229" s="111"/>
      <c r="E229" s="111"/>
      <c r="F229" s="111"/>
      <c r="G229" s="111"/>
      <c r="H229" s="95"/>
      <c r="I229" s="485"/>
      <c r="J229" s="485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9"/>
      <c r="V229" s="107"/>
      <c r="W229" s="108"/>
      <c r="X229" s="95"/>
      <c r="Y229" s="95"/>
      <c r="AA229" s="644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</row>
    <row r="230" spans="1:52" s="2" customFormat="1" x14ac:dyDescent="0.3">
      <c r="A230" s="95"/>
      <c r="B230" s="101"/>
      <c r="C230" s="95"/>
      <c r="D230" s="111"/>
      <c r="E230" s="111"/>
      <c r="F230" s="111"/>
      <c r="G230" s="111"/>
      <c r="H230" s="95"/>
      <c r="I230" s="485"/>
      <c r="J230" s="485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9"/>
      <c r="V230" s="107"/>
      <c r="W230" s="108"/>
      <c r="X230" s="95"/>
      <c r="Y230" s="95"/>
      <c r="AA230" s="644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</row>
    <row r="231" spans="1:52" s="2" customFormat="1" x14ac:dyDescent="0.3">
      <c r="A231" s="95"/>
      <c r="B231" s="101"/>
      <c r="C231" s="95"/>
      <c r="D231" s="111"/>
      <c r="E231" s="111"/>
      <c r="F231" s="111"/>
      <c r="G231" s="111"/>
      <c r="H231" s="95"/>
      <c r="I231" s="485"/>
      <c r="J231" s="485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9"/>
      <c r="V231" s="107"/>
      <c r="W231" s="108"/>
      <c r="X231" s="95"/>
      <c r="Y231" s="95"/>
      <c r="AA231" s="644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</row>
    <row r="232" spans="1:52" s="2" customFormat="1" x14ac:dyDescent="0.3">
      <c r="A232" s="95"/>
      <c r="B232" s="101"/>
      <c r="C232" s="95"/>
      <c r="D232" s="111"/>
      <c r="E232" s="111"/>
      <c r="F232" s="111"/>
      <c r="G232" s="111"/>
      <c r="H232" s="95"/>
      <c r="I232" s="485"/>
      <c r="J232" s="485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9"/>
      <c r="V232" s="107"/>
      <c r="W232" s="108"/>
      <c r="X232" s="95"/>
      <c r="Y232" s="95"/>
      <c r="AA232" s="644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</row>
    <row r="233" spans="1:52" s="2" customFormat="1" x14ac:dyDescent="0.3">
      <c r="A233" s="95"/>
      <c r="B233" s="101"/>
      <c r="C233" s="95"/>
      <c r="D233" s="111"/>
      <c r="E233" s="111"/>
      <c r="F233" s="111"/>
      <c r="G233" s="111"/>
      <c r="H233" s="95"/>
      <c r="I233" s="485"/>
      <c r="J233" s="485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9"/>
      <c r="V233" s="107"/>
      <c r="W233" s="108"/>
      <c r="X233" s="95"/>
      <c r="Y233" s="95"/>
      <c r="AA233" s="644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</row>
    <row r="234" spans="1:52" s="2" customFormat="1" x14ac:dyDescent="0.3">
      <c r="A234" s="95"/>
      <c r="B234" s="101"/>
      <c r="C234" s="95"/>
      <c r="D234" s="111"/>
      <c r="E234" s="111"/>
      <c r="F234" s="111"/>
      <c r="G234" s="111"/>
      <c r="H234" s="95"/>
      <c r="I234" s="485"/>
      <c r="J234" s="485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9"/>
      <c r="V234" s="107"/>
      <c r="W234" s="108"/>
      <c r="X234" s="95"/>
      <c r="Y234" s="95"/>
      <c r="AA234" s="644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</row>
    <row r="235" spans="1:52" x14ac:dyDescent="0.3">
      <c r="B235" s="101"/>
      <c r="C235" s="95"/>
      <c r="D235" s="111"/>
      <c r="E235" s="111"/>
      <c r="F235" s="111"/>
      <c r="G235" s="111"/>
      <c r="H235" s="95"/>
      <c r="I235" s="485"/>
      <c r="J235" s="485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9"/>
      <c r="V235" s="107"/>
      <c r="W235" s="108"/>
      <c r="X235" s="95"/>
    </row>
  </sheetData>
  <sheetProtection algorithmName="SHA-512" hashValue="RqLbw/AnzeyP4mBQ+ewDyCrHtDxyhyFQsqVB8dVaG8x3fHFj2iwF7ERnUzNwF9I+6UAwl/re6agQ7RYAMPPzqg==" saltValue="G2GENm7LKtvQmUMJo1843Q==" spinCount="100000" sheet="1" objects="1" scenarios="1"/>
  <protectedRanges>
    <protectedRange sqref="W58" name="Wert CF Paket"/>
    <protectedRange sqref="B17 B45 B8 B48:B49 B69:B70 B72:B104 B106:B155 B10 B12:B13 B54:B58 B159:B168" name="Auswahlfelder"/>
    <protectedRange sqref="W6" name="Steuersatz"/>
  </protectedRanges>
  <sortState xmlns:xlrd2="http://schemas.microsoft.com/office/spreadsheetml/2017/richdata2" ref="A107:AZ155">
    <sortCondition ref="C107:C155"/>
  </sortState>
  <mergeCells count="21">
    <mergeCell ref="C176:F187"/>
    <mergeCell ref="B189:B192"/>
    <mergeCell ref="B194:B195"/>
    <mergeCell ref="B196:B197"/>
    <mergeCell ref="I189:T189"/>
    <mergeCell ref="C189:H189"/>
    <mergeCell ref="C195:H195"/>
    <mergeCell ref="C196:H196"/>
    <mergeCell ref="C197:H197"/>
    <mergeCell ref="C191:H191"/>
    <mergeCell ref="C192:H192"/>
    <mergeCell ref="C194:H194"/>
    <mergeCell ref="C190:H190"/>
    <mergeCell ref="I3:I4"/>
    <mergeCell ref="C175:H175"/>
    <mergeCell ref="B1:X1"/>
    <mergeCell ref="B3:C3"/>
    <mergeCell ref="D3:H4"/>
    <mergeCell ref="U3:X5"/>
    <mergeCell ref="U6:V6"/>
    <mergeCell ref="B4:B6"/>
  </mergeCells>
  <phoneticPr fontId="5" type="noConversion"/>
  <conditionalFormatting sqref="I8:T23 I25:T27 I66:T66 I32:T64">
    <cfRule type="expression" dxfId="45" priority="55">
      <formula>OR(AND($B8="x",I8="Add-on"),AND($B8="x",I8="Kauf nach CF"))</formula>
    </cfRule>
    <cfRule type="expression" dxfId="44" priority="56">
      <formula>AND($B8="x",I8="enthalten")</formula>
    </cfRule>
  </conditionalFormatting>
  <conditionalFormatting sqref="I24:T24">
    <cfRule type="expression" dxfId="43" priority="1300">
      <formula>OR(AND($B30="x",I24="µ"),AND($B30="x",I24="enthalten"))</formula>
    </cfRule>
    <cfRule type="expression" dxfId="42" priority="1301">
      <formula>OR(AND($B30="x",I24="Add-on"),AND($B30="x",I24="Kauf nach CF"))</formula>
    </cfRule>
    <cfRule type="expression" dxfId="41" priority="1302">
      <formula>AND($B30="x",I24="enthalten")</formula>
    </cfRule>
  </conditionalFormatting>
  <conditionalFormatting sqref="I28:T29">
    <cfRule type="expression" dxfId="40" priority="1">
      <formula>OR(AND(#REF!="x",I28="µ"),AND(#REF!="x",I28="enthalten"))</formula>
    </cfRule>
    <cfRule type="expression" dxfId="39" priority="2">
      <formula>OR(AND(#REF!="x",I28="Add-on"),AND(#REF!="x",I28="Kauf nach CF"))</formula>
    </cfRule>
    <cfRule type="expression" dxfId="38" priority="3">
      <formula>AND(#REF!="x",I28="enthalten")</formula>
    </cfRule>
  </conditionalFormatting>
  <conditionalFormatting sqref="I30:T37">
    <cfRule type="expression" dxfId="37" priority="10">
      <formula>OR(AND($B29="x",I30="µ"),AND($B29="x",I30="enthalten"))</formula>
    </cfRule>
    <cfRule type="expression" dxfId="36" priority="11">
      <formula>OR(AND($B29="x",I30="Add-on"),AND($B29="x",I30="Kauf nach CF"))</formula>
    </cfRule>
    <cfRule type="expression" dxfId="35" priority="12">
      <formula>AND($B29="x",I30="enthalten")</formula>
    </cfRule>
  </conditionalFormatting>
  <conditionalFormatting sqref="I31:T37">
    <cfRule type="expression" dxfId="34" priority="1281">
      <formula>OR(AND($B30="x",I31="µ"),AND($B30="x",I31="enthalten"))</formula>
    </cfRule>
    <cfRule type="expression" dxfId="33" priority="1282">
      <formula>OR(AND($B30="x",I31="Add-on"),AND($B30="x",I31="Kauf nach CF"))</formula>
    </cfRule>
    <cfRule type="expression" dxfId="32" priority="1283">
      <formula>AND($B30="x",I31="enthalten")</formula>
    </cfRule>
  </conditionalFormatting>
  <conditionalFormatting sqref="I8:T23 I25:T27 I66:T66 I32:T64">
    <cfRule type="expression" dxfId="31" priority="54">
      <formula>OR(AND($B8="x",I8="µ"),AND($B8="x",I8="enthalten"))</formula>
    </cfRule>
  </conditionalFormatting>
  <conditionalFormatting sqref="I65:T65">
    <cfRule type="expression" dxfId="30" priority="1263">
      <formula>OR(AND($B67="x",I65="µ"),AND($B67="x",I65="enthalten"))</formula>
    </cfRule>
    <cfRule type="expression" dxfId="29" priority="1264">
      <formula>OR(AND($B67="x",I65="Add-on"),AND($B67="x",I65="Kauf nach CF"))</formula>
    </cfRule>
    <cfRule type="expression" dxfId="28" priority="1265">
      <formula>AND($B67="x",I65="enthalten")</formula>
    </cfRule>
  </conditionalFormatting>
  <conditionalFormatting sqref="I67:T67">
    <cfRule type="expression" dxfId="27" priority="1266">
      <formula>OR(AND(#REF!="x",I67="µ"),AND(#REF!="x",I67="enthalten"))</formula>
    </cfRule>
    <cfRule type="expression" dxfId="26" priority="1267">
      <formula>OR(AND(#REF!="x",I67="Add-on"),AND(#REF!="x",I67="Kauf nach CF"))</formula>
    </cfRule>
    <cfRule type="expression" dxfId="25" priority="1268">
      <formula>AND(#REF!="x",I67="enthalten")</formula>
    </cfRule>
  </conditionalFormatting>
  <conditionalFormatting sqref="I68:T173">
    <cfRule type="expression" dxfId="24" priority="4">
      <formula>OR(AND($B68="x",I68="µ"),AND($B68="x",I68="enthalten"))</formula>
    </cfRule>
    <cfRule type="expression" dxfId="23" priority="5">
      <formula>OR(AND($B68="x",I68="Add-on"),AND($B68="x",I68="Kauf nach CF"))</formula>
    </cfRule>
    <cfRule type="expression" dxfId="22" priority="6">
      <formula>AND($B68="x",I68="enthalten")</formula>
    </cfRule>
  </conditionalFormatting>
  <conditionalFormatting sqref="I175:T175">
    <cfRule type="top10" dxfId="21" priority="256" bottom="1" rank="1"/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76:T176">
    <cfRule type="top10" dxfId="20" priority="46" rank="1"/>
  </conditionalFormatting>
  <conditionalFormatting sqref="I176:T183 I185:T187">
    <cfRule type="cellIs" dxfId="19" priority="636" operator="lessThan">
      <formula>0</formula>
    </cfRule>
  </conditionalFormatting>
  <conditionalFormatting sqref="I177:T177">
    <cfRule type="top10" dxfId="18" priority="45" rank="1"/>
  </conditionalFormatting>
  <conditionalFormatting sqref="I178:T178">
    <cfRule type="top10" dxfId="17" priority="44" rank="1"/>
  </conditionalFormatting>
  <conditionalFormatting sqref="I179:T179">
    <cfRule type="top10" dxfId="16" priority="43" rank="1"/>
  </conditionalFormatting>
  <conditionalFormatting sqref="I180:T180">
    <cfRule type="top10" dxfId="15" priority="42" rank="1"/>
  </conditionalFormatting>
  <conditionalFormatting sqref="I181:T181">
    <cfRule type="top10" dxfId="14" priority="41" rank="1"/>
  </conditionalFormatting>
  <conditionalFormatting sqref="I182:T182">
    <cfRule type="top10" dxfId="13" priority="40" rank="1"/>
  </conditionalFormatting>
  <conditionalFormatting sqref="I183:T183">
    <cfRule type="top10" dxfId="12" priority="39" rank="1"/>
  </conditionalFormatting>
  <conditionalFormatting sqref="I184:T184">
    <cfRule type="top10" dxfId="11" priority="38" rank="1"/>
  </conditionalFormatting>
  <conditionalFormatting sqref="I185:T185">
    <cfRule type="top10" dxfId="10" priority="37" rank="1"/>
  </conditionalFormatting>
  <conditionalFormatting sqref="I186:T186">
    <cfRule type="top10" dxfId="9" priority="36" rank="1"/>
  </conditionalFormatting>
  <conditionalFormatting sqref="I187:T187">
    <cfRule type="top10" dxfId="8" priority="35" rank="1"/>
  </conditionalFormatting>
  <conditionalFormatting sqref="I190:T190">
    <cfRule type="top10" dxfId="7" priority="33" bottom="1" rank="1"/>
  </conditionalFormatting>
  <conditionalFormatting sqref="I191:T191">
    <cfRule type="top10" dxfId="6" priority="34" rank="1"/>
    <cfRule type="colorScale" priority="9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91:T192">
    <cfRule type="cellIs" dxfId="5" priority="50" operator="lessThan">
      <formula>0</formula>
    </cfRule>
  </conditionalFormatting>
  <conditionalFormatting sqref="I192:T192">
    <cfRule type="top10" dxfId="4" priority="32" rank="1"/>
    <cfRule type="colorScale" priority="9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94:T194">
    <cfRule type="top10" dxfId="3" priority="31" rank="1"/>
  </conditionalFormatting>
  <conditionalFormatting sqref="I195:T195">
    <cfRule type="top10" dxfId="2" priority="30" rank="1"/>
  </conditionalFormatting>
  <conditionalFormatting sqref="I196:T196">
    <cfRule type="top10" dxfId="1" priority="29" rank="1"/>
    <cfRule type="colorScale" priority="10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97:T197">
    <cfRule type="top10" dxfId="0" priority="28" rank="1"/>
    <cfRule type="colorScale" priority="10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B12:B13 B8 B68:B155 B45 B48:B49 B10 B17 B54:B58 B159:B168" xr:uid="{D30EEA0A-86A0-48D5-A10D-3ABC9F2C4A3A}">
      <formula1>$B$200:$B$201</formula1>
    </dataValidation>
  </dataValidations>
  <pageMargins left="0.15748031496062992" right="3.937007874015748E-2" top="7.874015748031496E-2" bottom="0.11811023622047245" header="3.937007874015748E-2" footer="7.874015748031496E-2"/>
  <pageSetup paperSize="9" scale="41" fitToHeight="0" orientation="landscape" r:id="rId1"/>
  <rowBreaks count="1" manualBreakCount="1">
    <brk id="197" max="23" man="1"/>
  </rowBreaks>
  <ignoredErrors>
    <ignoredError sqref="J7" numberStoredAsText="1"/>
    <ignoredError sqref="V172:V173 V57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FCFFB-A6C8-44D5-9EEA-D05540228E43}">
  <sheetPr>
    <pageSetUpPr fitToPage="1"/>
  </sheetPr>
  <dimension ref="A1:D15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1" sqref="D21"/>
    </sheetView>
  </sheetViews>
  <sheetFormatPr baseColWidth="10" defaultRowHeight="16.5" x14ac:dyDescent="0.3"/>
  <cols>
    <col min="1" max="1" width="11.42578125" style="610"/>
    <col min="2" max="2" width="112.42578125" style="543" bestFit="1" customWidth="1"/>
    <col min="3" max="3" width="30.28515625" style="543" bestFit="1" customWidth="1"/>
    <col min="4" max="4" width="65.42578125" style="543" bestFit="1" customWidth="1"/>
    <col min="5" max="16384" width="11.42578125" style="543"/>
  </cols>
  <sheetData>
    <row r="1" spans="1:4" x14ac:dyDescent="0.3">
      <c r="A1" s="780" t="s">
        <v>9</v>
      </c>
      <c r="B1" s="682" t="s">
        <v>363</v>
      </c>
    </row>
    <row r="2" spans="1:4" x14ac:dyDescent="0.3">
      <c r="A2" s="684">
        <v>46194</v>
      </c>
      <c r="B2" s="781" t="s">
        <v>545</v>
      </c>
      <c r="C2" s="611"/>
    </row>
    <row r="3" spans="1:4" x14ac:dyDescent="0.3">
      <c r="A3" s="684">
        <v>46197</v>
      </c>
      <c r="B3" s="682" t="s">
        <v>672</v>
      </c>
    </row>
    <row r="4" spans="1:4" x14ac:dyDescent="0.3">
      <c r="A4" s="684">
        <v>46199</v>
      </c>
      <c r="B4" s="682" t="s">
        <v>677</v>
      </c>
    </row>
    <row r="5" spans="1:4" x14ac:dyDescent="0.3">
      <c r="A5" s="684">
        <v>46202</v>
      </c>
      <c r="B5" s="838" t="s">
        <v>679</v>
      </c>
    </row>
    <row r="6" spans="1:4" x14ac:dyDescent="0.3">
      <c r="A6" s="684">
        <v>46206</v>
      </c>
      <c r="B6" s="838" t="s">
        <v>683</v>
      </c>
    </row>
    <row r="7" spans="1:4" x14ac:dyDescent="0.3">
      <c r="A7" s="684">
        <v>46208</v>
      </c>
      <c r="B7" s="838" t="s">
        <v>685</v>
      </c>
    </row>
    <row r="8" spans="1:4" x14ac:dyDescent="0.3">
      <c r="A8" s="684">
        <v>46210</v>
      </c>
      <c r="B8" s="838" t="s">
        <v>687</v>
      </c>
    </row>
    <row r="10" spans="1:4" x14ac:dyDescent="0.3">
      <c r="A10" s="687" t="s">
        <v>9</v>
      </c>
      <c r="B10" s="543" t="s">
        <v>425</v>
      </c>
      <c r="C10" s="543" t="s">
        <v>546</v>
      </c>
      <c r="D10" s="543" t="s">
        <v>424</v>
      </c>
    </row>
    <row r="11" spans="1:4" x14ac:dyDescent="0.3">
      <c r="A11" s="684">
        <v>46190</v>
      </c>
      <c r="B11" s="682" t="s">
        <v>663</v>
      </c>
      <c r="C11" s="682" t="s">
        <v>547</v>
      </c>
      <c r="D11" s="683" t="s">
        <v>662</v>
      </c>
    </row>
    <row r="12" spans="1:4" x14ac:dyDescent="0.3">
      <c r="A12" s="684">
        <v>46195</v>
      </c>
      <c r="B12" s="682" t="s">
        <v>673</v>
      </c>
      <c r="C12" s="682" t="s">
        <v>548</v>
      </c>
      <c r="D12" s="683" t="s">
        <v>674</v>
      </c>
    </row>
    <row r="13" spans="1:4" x14ac:dyDescent="0.3">
      <c r="A13" s="684">
        <v>46197</v>
      </c>
      <c r="B13" s="682" t="s">
        <v>675</v>
      </c>
      <c r="C13" s="682" t="s">
        <v>548</v>
      </c>
      <c r="D13" s="683" t="s">
        <v>676</v>
      </c>
    </row>
    <row r="14" spans="1:4" x14ac:dyDescent="0.3">
      <c r="A14" s="684">
        <v>46198</v>
      </c>
      <c r="B14" s="682" t="s">
        <v>678</v>
      </c>
      <c r="C14" s="682" t="s">
        <v>547</v>
      </c>
      <c r="D14" s="683" t="s">
        <v>678</v>
      </c>
    </row>
    <row r="15" spans="1:4" x14ac:dyDescent="0.3">
      <c r="A15" s="684">
        <v>46210</v>
      </c>
      <c r="B15" s="682" t="s">
        <v>688</v>
      </c>
      <c r="C15" s="682" t="s">
        <v>547</v>
      </c>
      <c r="D15" s="683" t="s">
        <v>689</v>
      </c>
    </row>
  </sheetData>
  <hyperlinks>
    <hyperlink ref="D11" r:id="rId1" xr:uid="{693205E7-0C89-4315-BCEC-E6DC48F6BF18}"/>
    <hyperlink ref="D12" r:id="rId2" xr:uid="{6F268211-48CE-4F43-A197-801E5E498841}"/>
    <hyperlink ref="D14" r:id="rId3" display="https://www.youtube.com/@UlissesSpieleTV" xr:uid="{3AC0C862-5B31-431A-97BF-DDBFD81F93F5}"/>
  </hyperlinks>
  <pageMargins left="0.28999999999999998" right="0.7" top="0.78740157499999996" bottom="0.78740157499999996" header="0.3" footer="0.3"/>
  <pageSetup paperSize="9" scale="64" orientation="landscape" r:id="rId4"/>
  <tableParts count="2"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6489-48CB-4CB3-A14C-D94BAC65D341}">
  <sheetPr codeName="Tabelle3">
    <tabColor rgb="FFFF0000"/>
  </sheetPr>
  <dimension ref="A1:FG207"/>
  <sheetViews>
    <sheetView showGridLines="0" workbookViewId="0">
      <pane xSplit="1" ySplit="8" topLeftCell="B9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RowHeight="15" outlineLevelRow="2" outlineLevelCol="1" x14ac:dyDescent="0.25"/>
  <cols>
    <col min="1" max="1" width="16.85546875" style="12" bestFit="1" customWidth="1"/>
    <col min="2" max="3" width="11.5703125" style="3" hidden="1" customWidth="1" outlineLevel="1"/>
    <col min="4" max="4" width="11.5703125" style="20" hidden="1" customWidth="1" outlineLevel="1"/>
    <col min="5" max="5" width="12.140625" style="12" hidden="1" customWidth="1" outlineLevel="1"/>
    <col min="6" max="6" width="11.5703125" style="12" hidden="1" customWidth="1" outlineLevel="1"/>
    <col min="7" max="7" width="11.5703125" style="20" hidden="1" customWidth="1" outlineLevel="1"/>
    <col min="8" max="8" width="12.140625" style="12" hidden="1" customWidth="1" outlineLevel="1"/>
    <col min="9" max="13" width="11.5703125" style="12" hidden="1" customWidth="1" outlineLevel="1"/>
    <col min="14" max="14" width="12.140625" style="12" hidden="1" customWidth="1" outlineLevel="1"/>
    <col min="15" max="16" width="11.5703125" style="12" hidden="1" customWidth="1" outlineLevel="1"/>
    <col min="17" max="17" width="12.140625" style="12" hidden="1" customWidth="1" outlineLevel="1"/>
    <col min="18" max="19" width="11.5703125" style="12" hidden="1" customWidth="1" outlineLevel="1"/>
    <col min="20" max="20" width="12.140625" style="12" hidden="1" customWidth="1" outlineLevel="1"/>
    <col min="21" max="22" width="11.5703125" style="12" hidden="1" customWidth="1" outlineLevel="1"/>
    <col min="23" max="23" width="12.140625" style="12" hidden="1" customWidth="1" outlineLevel="1"/>
    <col min="24" max="25" width="11.5703125" style="12" hidden="1" customWidth="1" outlineLevel="1"/>
    <col min="26" max="26" width="12.140625" style="12" hidden="1" customWidth="1" outlineLevel="1"/>
    <col min="27" max="31" width="11.5703125" style="12" hidden="1" customWidth="1" outlineLevel="1"/>
    <col min="32" max="32" width="12.140625" style="12" hidden="1" customWidth="1" outlineLevel="1"/>
    <col min="33" max="40" width="11.5703125" style="12" hidden="1" customWidth="1" outlineLevel="1"/>
    <col min="41" max="41" width="11.42578125" style="12" collapsed="1"/>
    <col min="42" max="58" width="11.42578125" style="12"/>
    <col min="68" max="68" width="11.42578125" style="166"/>
    <col min="69" max="69" width="6.42578125" style="166" bestFit="1" customWidth="1"/>
    <col min="70" max="72" width="8.7109375" style="166" customWidth="1"/>
    <col min="73" max="73" width="9.140625" style="166" bestFit="1" customWidth="1"/>
    <col min="74" max="81" width="8.7109375" style="166" customWidth="1"/>
    <col min="82" max="82" width="6.140625" style="166" customWidth="1"/>
    <col min="83" max="83" width="6.42578125" style="166" bestFit="1" customWidth="1"/>
    <col min="84" max="84" width="5.5703125" bestFit="1" customWidth="1"/>
    <col min="85" max="85" width="5.28515625" bestFit="1" customWidth="1"/>
    <col min="86" max="91" width="5.28515625" customWidth="1"/>
    <col min="92" max="92" width="11.42578125" style="4"/>
    <col min="93" max="93" width="11.42578125" style="5"/>
    <col min="94" max="94" width="11.42578125" style="10"/>
    <col min="95" max="95" width="11.42578125" style="13"/>
    <col min="96" max="96" width="11.42578125" style="4"/>
    <col min="97" max="97" width="11.42578125" style="5"/>
    <col min="98" max="98" width="11.42578125" style="4"/>
    <col min="99" max="99" width="11.42578125" style="5"/>
    <col min="100" max="100" width="11.42578125" style="4"/>
    <col min="101" max="101" width="11.42578125" style="5"/>
    <col min="102" max="102" width="11.42578125" style="4"/>
    <col min="103" max="103" width="11.42578125" style="5"/>
    <col min="104" max="104" width="11.42578125" style="4"/>
    <col min="105" max="105" width="11.42578125" style="5"/>
    <col min="106" max="106" width="11.42578125" style="4"/>
    <col min="107" max="107" width="11.42578125" style="5"/>
    <col min="108" max="108" width="11.42578125" style="4"/>
    <col min="109" max="109" width="11.42578125" style="5"/>
    <col min="110" max="110" width="11.42578125" style="4"/>
    <col min="111" max="111" width="11.42578125" style="5"/>
    <col min="112" max="112" width="11.42578125" style="4"/>
    <col min="113" max="113" width="11.42578125" style="5"/>
    <col min="114" max="114" width="11.42578125" style="4"/>
    <col min="115" max="115" width="11.42578125" style="5"/>
    <col min="116" max="116" width="11.42578125" style="4"/>
    <col min="117" max="117" width="11.42578125" style="5"/>
    <col min="118" max="118" width="11.42578125" style="4"/>
    <col min="119" max="119" width="11.42578125" style="5"/>
    <col min="120" max="120" width="11.42578125" style="4"/>
    <col min="121" max="121" width="11.42578125" style="5"/>
    <col min="122" max="122" width="11.42578125" style="4"/>
    <col min="123" max="123" width="11.42578125" style="5"/>
    <col min="124" max="124" width="11.42578125" style="4"/>
    <col min="125" max="125" width="11.42578125" style="5"/>
    <col min="126" max="126" width="11.42578125" style="4"/>
    <col min="127" max="127" width="11.42578125" style="5"/>
    <col min="128" max="128" width="2.85546875" customWidth="1"/>
    <col min="129" max="129" width="6.85546875" customWidth="1"/>
    <col min="130" max="130" width="2.85546875" customWidth="1"/>
    <col min="131" max="131" width="6.85546875" customWidth="1"/>
    <col min="132" max="132" width="2.85546875" customWidth="1"/>
    <col min="133" max="133" width="6.85546875" customWidth="1"/>
    <col min="134" max="134" width="2.85546875" customWidth="1"/>
    <col min="135" max="135" width="6.85546875" customWidth="1"/>
    <col min="136" max="136" width="2.85546875" customWidth="1"/>
    <col min="137" max="137" width="6.85546875" customWidth="1"/>
    <col min="138" max="138" width="2.85546875" customWidth="1"/>
    <col min="139" max="139" width="6.85546875" customWidth="1"/>
    <col min="140" max="140" width="2.85546875" customWidth="1"/>
    <col min="141" max="141" width="6.85546875" customWidth="1"/>
    <col min="142" max="142" width="2.85546875" customWidth="1"/>
    <col min="143" max="143" width="6.85546875" customWidth="1"/>
    <col min="144" max="144" width="2.85546875" customWidth="1"/>
    <col min="145" max="145" width="6.85546875" customWidth="1"/>
    <col min="146" max="146" width="2.85546875" customWidth="1"/>
    <col min="147" max="147" width="6.85546875" customWidth="1"/>
    <col min="148" max="148" width="2.85546875" customWidth="1"/>
    <col min="149" max="149" width="6.85546875" customWidth="1"/>
    <col min="150" max="150" width="2.85546875" customWidth="1"/>
    <col min="151" max="151" width="6.85546875" customWidth="1"/>
    <col min="152" max="152" width="2.85546875" customWidth="1"/>
    <col min="153" max="153" width="6.85546875" customWidth="1"/>
    <col min="154" max="154" width="2.85546875" customWidth="1"/>
    <col min="155" max="155" width="6.85546875" customWidth="1"/>
    <col min="156" max="156" width="2.85546875" customWidth="1"/>
    <col min="157" max="157" width="6.85546875" customWidth="1"/>
    <col min="158" max="158" width="2.85546875" customWidth="1"/>
    <col min="159" max="159" width="6.85546875" customWidth="1"/>
    <col min="160" max="160" width="2.85546875" customWidth="1"/>
    <col min="161" max="161" width="6.85546875" customWidth="1"/>
    <col min="162" max="162" width="2.85546875" customWidth="1"/>
    <col min="163" max="163" width="6.85546875" customWidth="1"/>
  </cols>
  <sheetData>
    <row r="1" spans="1:163" x14ac:dyDescent="0.25">
      <c r="A1" s="12" t="s">
        <v>242</v>
      </c>
      <c r="E1" s="3"/>
      <c r="F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548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CF1" s="235"/>
      <c r="CG1" s="235"/>
      <c r="CH1" s="235"/>
      <c r="CI1" s="235"/>
      <c r="CJ1" s="235"/>
      <c r="CK1" s="235"/>
      <c r="CL1" s="235"/>
      <c r="CM1" s="235"/>
      <c r="CN1" s="984" t="s">
        <v>280</v>
      </c>
      <c r="CO1" s="984"/>
      <c r="CP1" s="249"/>
      <c r="CQ1" s="250"/>
      <c r="CR1" s="984" t="s">
        <v>280</v>
      </c>
      <c r="CS1" s="984"/>
      <c r="CT1" s="247"/>
      <c r="CU1" s="248"/>
      <c r="CV1" s="984" t="s">
        <v>374</v>
      </c>
      <c r="CW1" s="984"/>
      <c r="CX1" s="247"/>
      <c r="CY1" s="248"/>
      <c r="CZ1" s="247"/>
      <c r="DA1" s="248"/>
      <c r="DB1" s="247"/>
      <c r="DC1" s="248"/>
      <c r="DD1" s="247"/>
      <c r="DE1" s="248"/>
      <c r="DF1" s="247"/>
      <c r="DG1" s="248"/>
      <c r="DH1" s="984" t="s">
        <v>374</v>
      </c>
      <c r="DI1" s="984"/>
      <c r="DJ1" s="984"/>
      <c r="DK1" s="984"/>
      <c r="DL1" s="247"/>
      <c r="DM1" s="248"/>
      <c r="DN1" s="247"/>
      <c r="DO1" s="248"/>
      <c r="DP1" s="247"/>
      <c r="DQ1" s="248"/>
      <c r="DR1" s="247"/>
      <c r="DS1" s="248"/>
      <c r="DT1" s="248"/>
      <c r="DU1" s="248"/>
      <c r="DV1" s="248"/>
      <c r="DW1" s="248"/>
      <c r="DX1" s="984" t="s">
        <v>175</v>
      </c>
      <c r="DY1" s="984"/>
      <c r="DZ1" s="235"/>
      <c r="EA1" s="235"/>
      <c r="EB1" s="235"/>
      <c r="EC1" s="235"/>
      <c r="ED1" s="984" t="s">
        <v>176</v>
      </c>
      <c r="EE1" s="984"/>
      <c r="EF1" s="984" t="s">
        <v>282</v>
      </c>
      <c r="EG1" s="984"/>
      <c r="EH1" s="247"/>
      <c r="EI1" s="248"/>
      <c r="EJ1" s="247"/>
      <c r="EK1" s="248"/>
      <c r="EL1" s="984" t="s">
        <v>175</v>
      </c>
      <c r="EM1" s="984"/>
      <c r="EN1" s="247"/>
      <c r="EO1" s="248"/>
      <c r="EP1" s="984" t="s">
        <v>176</v>
      </c>
      <c r="EQ1" s="984"/>
      <c r="ER1" s="984"/>
      <c r="ES1" s="984"/>
      <c r="ET1" s="984"/>
      <c r="EU1" s="984"/>
      <c r="EV1" s="984" t="s">
        <v>176</v>
      </c>
      <c r="EW1" s="984"/>
      <c r="EX1" s="247"/>
      <c r="EY1" s="248"/>
      <c r="EZ1" s="247"/>
      <c r="FA1" s="248"/>
      <c r="FB1" s="984" t="s">
        <v>176</v>
      </c>
      <c r="FC1" s="984"/>
    </row>
    <row r="2" spans="1:163" ht="15.75" hidden="1" outlineLevel="1" thickBot="1" x14ac:dyDescent="0.3">
      <c r="E2" s="3"/>
      <c r="F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005" t="s">
        <v>315</v>
      </c>
      <c r="AG2" s="1005"/>
      <c r="AH2" s="1005"/>
      <c r="AI2" s="3"/>
      <c r="AJ2" s="3"/>
      <c r="AK2" s="3"/>
      <c r="AL2" s="1005" t="s">
        <v>315</v>
      </c>
      <c r="AM2" s="1005"/>
      <c r="AN2" s="1005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697" t="s">
        <v>344</v>
      </c>
      <c r="BE2" s="696"/>
      <c r="BF2" s="696"/>
      <c r="CF2" s="235"/>
      <c r="CG2" s="235"/>
      <c r="CH2" s="1028" t="s">
        <v>373</v>
      </c>
      <c r="CI2" s="1028"/>
      <c r="CJ2" s="235"/>
      <c r="CK2" s="235"/>
      <c r="CL2" s="235"/>
      <c r="CM2" s="235"/>
      <c r="CN2" s="984" t="s">
        <v>279</v>
      </c>
      <c r="CO2" s="984"/>
      <c r="CP2" s="249"/>
      <c r="CQ2" s="250"/>
      <c r="CR2" s="984" t="s">
        <v>279</v>
      </c>
      <c r="CS2" s="984"/>
      <c r="CT2" s="247"/>
      <c r="CU2" s="248"/>
      <c r="CV2" s="984" t="s">
        <v>279</v>
      </c>
      <c r="CW2" s="984"/>
      <c r="CX2" s="247"/>
      <c r="CY2" s="248"/>
      <c r="CZ2" s="247"/>
      <c r="DA2" s="248"/>
      <c r="DB2" s="247"/>
      <c r="DC2" s="248"/>
      <c r="DD2" s="247"/>
      <c r="DE2" s="248"/>
      <c r="DF2" s="247"/>
      <c r="DG2" s="248"/>
      <c r="DH2" s="1029" t="s">
        <v>315</v>
      </c>
      <c r="DI2" s="1029"/>
      <c r="DJ2" s="247"/>
      <c r="DK2" s="247"/>
      <c r="DL2" s="1029" t="s">
        <v>315</v>
      </c>
      <c r="DM2" s="1029"/>
      <c r="DN2" s="247"/>
      <c r="DO2" s="248"/>
      <c r="DP2" s="248"/>
      <c r="DQ2" s="248"/>
      <c r="DR2" s="247"/>
      <c r="DS2" s="248"/>
      <c r="DT2" s="248"/>
      <c r="DU2" s="248"/>
      <c r="DV2" s="248"/>
      <c r="DW2" s="248"/>
      <c r="DX2" s="247"/>
      <c r="DY2" s="247"/>
      <c r="DZ2" s="235"/>
      <c r="EA2" s="235"/>
      <c r="EB2" s="235"/>
      <c r="EC2" s="235"/>
      <c r="ED2" s="247"/>
      <c r="EE2" s="247"/>
      <c r="EF2" s="247"/>
      <c r="EG2" s="247"/>
      <c r="EH2" s="247"/>
      <c r="EI2" s="248"/>
      <c r="EJ2" s="247"/>
      <c r="EK2" s="248"/>
      <c r="EL2" s="247"/>
      <c r="EM2" s="247"/>
      <c r="EN2" s="247"/>
      <c r="EO2" s="248"/>
      <c r="EP2" s="247"/>
      <c r="EQ2" s="247"/>
      <c r="ER2" s="247"/>
      <c r="ES2" s="247"/>
      <c r="ET2" s="247"/>
      <c r="EU2" s="247"/>
      <c r="EV2" s="247"/>
      <c r="EW2" s="247"/>
      <c r="EX2" s="247"/>
      <c r="EY2" s="248"/>
      <c r="EZ2" s="247"/>
      <c r="FA2" s="248"/>
      <c r="FB2" s="247"/>
      <c r="FC2" s="247"/>
    </row>
    <row r="3" spans="1:163" hidden="1" outlineLevel="1" x14ac:dyDescent="0.25">
      <c r="A3" s="324" t="s">
        <v>228</v>
      </c>
      <c r="AL3" s="1005" t="s">
        <v>315</v>
      </c>
      <c r="AM3" s="1005"/>
      <c r="AN3" s="1005"/>
      <c r="AO3" s="991"/>
      <c r="AP3" s="991"/>
      <c r="AQ3" s="353"/>
      <c r="AR3" s="991"/>
      <c r="AS3" s="991"/>
      <c r="AT3" s="353"/>
      <c r="AU3" s="991"/>
      <c r="AV3" s="991"/>
      <c r="AW3" s="353"/>
      <c r="AX3" s="353"/>
      <c r="AY3" s="353"/>
      <c r="AZ3" s="353"/>
      <c r="BA3" s="3"/>
      <c r="BB3" s="3"/>
      <c r="BC3" s="3"/>
      <c r="BD3" s="698"/>
      <c r="BE3" s="698"/>
      <c r="BF3" s="698"/>
      <c r="DT3" s="5"/>
      <c r="DV3" s="5"/>
    </row>
    <row r="4" spans="1:163" hidden="1" outlineLevel="1" x14ac:dyDescent="0.25">
      <c r="A4" s="234" t="s">
        <v>24</v>
      </c>
      <c r="B4" s="273" t="str">
        <f>Tabelle3[[#Headers],[Ned (€)]]</f>
        <v>Ned (€)</v>
      </c>
      <c r="C4" s="274" t="str">
        <f>C$8</f>
        <v>Ned (Backer)</v>
      </c>
      <c r="D4" s="337" t="str">
        <f t="shared" ref="D4:BF4" si="0">D$8</f>
        <v>Ned (€/B)</v>
      </c>
      <c r="E4" s="276" t="str">
        <f t="shared" si="0"/>
        <v>Werkzeuge (€)</v>
      </c>
      <c r="F4" s="277" t="str">
        <f t="shared" si="0"/>
        <v>Werkzeuge (Backer)</v>
      </c>
      <c r="G4" s="373" t="str">
        <f t="shared" si="0"/>
        <v>Werkz (€/B)</v>
      </c>
      <c r="H4" s="280" t="str">
        <f t="shared" si="0"/>
        <v>DSK Fasar (€)</v>
      </c>
      <c r="I4" s="281" t="str">
        <f t="shared" si="0"/>
        <v>DSK Fasar (Backer)</v>
      </c>
      <c r="J4" s="282" t="str">
        <f t="shared" si="0"/>
        <v>DSK Fasar (€/B)</v>
      </c>
      <c r="K4" s="273" t="str">
        <f t="shared" si="0"/>
        <v>Mythen (€)</v>
      </c>
      <c r="L4" s="274" t="str">
        <f t="shared" si="0"/>
        <v>Mythen (Backer)</v>
      </c>
      <c r="M4" s="274" t="str">
        <f t="shared" si="0"/>
        <v>Mythen (€/B)</v>
      </c>
      <c r="N4" s="278" t="str">
        <f t="shared" si="0"/>
        <v>SOK (€)</v>
      </c>
      <c r="O4" s="279" t="str">
        <f t="shared" si="0"/>
        <v>SOK (Backer)</v>
      </c>
      <c r="P4" s="279" t="str">
        <f t="shared" si="0"/>
        <v>SOK (€/B)</v>
      </c>
      <c r="Q4" s="275" t="str">
        <f t="shared" si="0"/>
        <v>RE (€)</v>
      </c>
      <c r="R4" s="275" t="str">
        <f t="shared" si="0"/>
        <v>RE (Backer)</v>
      </c>
      <c r="S4" s="275" t="str">
        <f t="shared" si="0"/>
        <v>RE (€/B)</v>
      </c>
      <c r="T4" s="275" t="str">
        <f t="shared" si="0"/>
        <v>DGG (€)</v>
      </c>
      <c r="U4" s="275" t="str">
        <f t="shared" si="0"/>
        <v>DGG (Backer)</v>
      </c>
      <c r="V4" s="275" t="str">
        <f t="shared" si="0"/>
        <v>DGG (€/B)</v>
      </c>
      <c r="W4" s="280" t="str">
        <f t="shared" si="0"/>
        <v>DSK SV (€)</v>
      </c>
      <c r="X4" s="281" t="str">
        <f t="shared" si="0"/>
        <v>DSK SV (Backer)</v>
      </c>
      <c r="Y4" s="282" t="str">
        <f t="shared" si="0"/>
        <v>DSK SV (€/B)</v>
      </c>
      <c r="Z4" s="278" t="str">
        <f t="shared" si="0"/>
        <v>WW (€)</v>
      </c>
      <c r="AA4" s="279" t="str">
        <f t="shared" si="0"/>
        <v>WW (Backer)</v>
      </c>
      <c r="AB4" s="279" t="str">
        <f t="shared" si="0"/>
        <v>WW (€/B)</v>
      </c>
      <c r="AC4" s="280" t="str">
        <f t="shared" si="0"/>
        <v>DSK R (€)</v>
      </c>
      <c r="AD4" s="281" t="str">
        <f t="shared" si="0"/>
        <v>DSK R (Backer)</v>
      </c>
      <c r="AE4" s="282" t="str">
        <f t="shared" si="0"/>
        <v>DSK R (€/B)</v>
      </c>
      <c r="AF4" s="275" t="str">
        <f t="shared" si="0"/>
        <v>Ära (€)</v>
      </c>
      <c r="AG4" s="275" t="str">
        <f t="shared" si="0"/>
        <v>Ära (Backer)</v>
      </c>
      <c r="AH4" s="275" t="str">
        <f t="shared" si="0"/>
        <v>Ära (€/B)</v>
      </c>
      <c r="AI4" s="275" t="str">
        <f t="shared" si="0"/>
        <v>Mosaik (€)</v>
      </c>
      <c r="AJ4" s="275" t="str">
        <f t="shared" si="0"/>
        <v>Mosaik (Backer)</v>
      </c>
      <c r="AK4" s="275" t="str">
        <f t="shared" si="0"/>
        <v>Mosaik (€/B)</v>
      </c>
      <c r="AL4" s="280" t="str">
        <f t="shared" si="0"/>
        <v>DSK ES (€)</v>
      </c>
      <c r="AM4" s="281" t="str">
        <f t="shared" si="0"/>
        <v>DSK ES (Backer)</v>
      </c>
      <c r="AN4" s="282" t="str">
        <f t="shared" si="0"/>
        <v>DSK ES (€/B)</v>
      </c>
      <c r="AO4" s="278" t="str">
        <f t="shared" si="0"/>
        <v>ES (€)</v>
      </c>
      <c r="AP4" s="279" t="str">
        <f t="shared" si="0"/>
        <v>ES (Backer)</v>
      </c>
      <c r="AQ4" s="389" t="str">
        <f t="shared" si="0"/>
        <v>ES (€/B)</v>
      </c>
      <c r="AR4" s="278" t="str">
        <f t="shared" si="0"/>
        <v>WF (€)</v>
      </c>
      <c r="AS4" s="279" t="str">
        <f t="shared" si="0"/>
        <v>WF(Backer)</v>
      </c>
      <c r="AT4" s="389" t="str">
        <f t="shared" si="0"/>
        <v>WF (€/B)</v>
      </c>
      <c r="AU4" s="653" t="str">
        <f t="shared" si="0"/>
        <v>AKM (€)</v>
      </c>
      <c r="AV4" s="274" t="str">
        <f t="shared" si="0"/>
        <v>AKM(Backer)</v>
      </c>
      <c r="AW4" s="274" t="str">
        <f t="shared" si="0"/>
        <v>AKM (€/B)</v>
      </c>
      <c r="AX4" s="275" t="str">
        <f t="shared" si="0"/>
        <v>Lex (€)</v>
      </c>
      <c r="AY4" s="275" t="str">
        <f t="shared" si="0"/>
        <v>Lex(Backer)</v>
      </c>
      <c r="AZ4" s="654" t="str">
        <f t="shared" si="0"/>
        <v>Lex(€/B)</v>
      </c>
      <c r="BA4" s="275" t="str">
        <f t="shared" si="0"/>
        <v>KA (€)</v>
      </c>
      <c r="BB4" s="275" t="str">
        <f t="shared" si="0"/>
        <v>KA (Backer)</v>
      </c>
      <c r="BC4" s="654" t="str">
        <f t="shared" si="0"/>
        <v>KA (€/B)</v>
      </c>
      <c r="BD4" s="278" t="str">
        <f t="shared" si="0"/>
        <v>MAR (€)</v>
      </c>
      <c r="BE4" s="279" t="str">
        <f t="shared" si="0"/>
        <v>MAR (Backer)</v>
      </c>
      <c r="BF4" s="389" t="str">
        <f t="shared" si="0"/>
        <v>MAR (€/B)</v>
      </c>
      <c r="BG4" s="1006" t="s">
        <v>202</v>
      </c>
      <c r="BH4" s="1006"/>
      <c r="BI4" s="1006"/>
      <c r="BJ4" s="1006"/>
      <c r="CE4" s="167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FB4" s="166"/>
      <c r="FC4" s="166"/>
    </row>
    <row r="5" spans="1:163" hidden="1" outlineLevel="1" x14ac:dyDescent="0.25">
      <c r="A5" s="447" t="s">
        <v>307</v>
      </c>
      <c r="B5" s="326">
        <f>$BD$29/B54</f>
        <v>344585.92479674798</v>
      </c>
      <c r="C5" s="329">
        <f>$BE$29/C54</f>
        <v>1858.7633333333333</v>
      </c>
      <c r="D5" s="346"/>
      <c r="E5" s="326">
        <f>$BD$29/E54</f>
        <v>395362.66033117461</v>
      </c>
      <c r="F5" s="329">
        <f>$BE$29/F54</f>
        <v>2109.1875</v>
      </c>
      <c r="G5" s="346"/>
      <c r="H5" s="326">
        <f>$BD$29/H54</f>
        <v>342970.14045305067</v>
      </c>
      <c r="I5" s="329">
        <f>$BE$29/I54</f>
        <v>1810.6267123287671</v>
      </c>
      <c r="J5" s="329"/>
      <c r="K5" s="326">
        <f>$BD$29/K54</f>
        <v>343870.13273328013</v>
      </c>
      <c r="L5" s="329">
        <f>$BE$29/L54</f>
        <v>1815.1795454545454</v>
      </c>
      <c r="M5" s="329"/>
      <c r="N5" s="326">
        <f>$BD$29/N54</f>
        <v>326687.08522524073</v>
      </c>
      <c r="O5" s="329">
        <f>$BE$29/O54</f>
        <v>1730.7754045307445</v>
      </c>
      <c r="P5" s="329"/>
      <c r="Q5" s="326">
        <f>$BD$29/Q54</f>
        <v>356287.0588902054</v>
      </c>
      <c r="R5" s="329">
        <f>$BE$29/R54</f>
        <v>1875.0218156228009</v>
      </c>
      <c r="S5" s="329"/>
      <c r="T5" s="326">
        <f>$BD$29/T54</f>
        <v>339161.07119101606</v>
      </c>
      <c r="U5" s="329">
        <f>$BE$29/U54</f>
        <v>1815.5561993047509</v>
      </c>
      <c r="V5" s="329"/>
      <c r="W5" s="326">
        <f>$BD$29/W54</f>
        <v>348501.36892940965</v>
      </c>
      <c r="X5" s="329">
        <f>$BE$29/X54</f>
        <v>1857.5537634408604</v>
      </c>
      <c r="Y5" s="329"/>
      <c r="Z5" s="326">
        <f>$BD$29/Z54</f>
        <v>331221.95283433679</v>
      </c>
      <c r="AA5" s="329">
        <f>$BE$29/AA54</f>
        <v>1761.0958904109589</v>
      </c>
      <c r="AB5" s="329"/>
      <c r="AC5" s="326">
        <f>$BD$29/AC54</f>
        <v>363039.27135178179</v>
      </c>
      <c r="AD5" s="329">
        <f>$BE$29/AD54</f>
        <v>1904.3303964757708</v>
      </c>
      <c r="AE5" s="329"/>
      <c r="AF5" s="326">
        <f>$BD$29/AF54</f>
        <v>351096.14557614853</v>
      </c>
      <c r="AG5" s="329">
        <f>$BE$29/AG54</f>
        <v>1853.3522842639595</v>
      </c>
      <c r="AH5" s="329"/>
      <c r="AI5" s="326">
        <f>$BD$29/AI54</f>
        <v>331108.0373667106</v>
      </c>
      <c r="AJ5" s="329">
        <f>$BE$29/AJ54</f>
        <v>1765.7160493827159</v>
      </c>
      <c r="AK5" s="329"/>
      <c r="AL5" s="329"/>
      <c r="AM5" s="329"/>
      <c r="AN5" s="329"/>
      <c r="AO5" s="326">
        <f>$BD$29/AO54</f>
        <v>339862.4349186598</v>
      </c>
      <c r="AP5" s="329">
        <f>$BE$29/AP54</f>
        <v>1813.2790161414296</v>
      </c>
      <c r="AQ5" s="329"/>
      <c r="AR5" s="326">
        <f>$BD$29/AR54</f>
        <v>328398.53373956482</v>
      </c>
      <c r="AS5" s="329">
        <f>$BE$29/AS54</f>
        <v>1770.7925873129009</v>
      </c>
      <c r="AT5" s="329"/>
      <c r="AU5" s="326">
        <f>$BD$29/AU54</f>
        <v>333643.29198816913</v>
      </c>
      <c r="AV5" s="329">
        <f>$BE$29/AV54</f>
        <v>1790.8290349417637</v>
      </c>
      <c r="AW5" s="329"/>
      <c r="AX5" s="326">
        <f>$BD$29/AX54</f>
        <v>324225.49848775112</v>
      </c>
      <c r="AY5" s="329">
        <f>$BE$29/AY54</f>
        <v>1741.8732142857143</v>
      </c>
      <c r="AZ5" s="329"/>
      <c r="BA5" s="326">
        <f>$BD$29/BA54</f>
        <v>335545.44032406685</v>
      </c>
      <c r="BB5" s="329">
        <f>$BE$29/BB54</f>
        <v>1779.3353825136612</v>
      </c>
      <c r="BC5" s="329"/>
      <c r="BD5" s="326"/>
      <c r="BE5" s="329"/>
      <c r="BF5" s="329"/>
      <c r="BG5" s="326">
        <f>AVERAGE(B5,E5,H5,K5,N5,Q5,T5,W5,Z5,AC5,AI5,AO5,AR5,AU5,AX5)</f>
        <v>343261.63088247331</v>
      </c>
      <c r="BH5" s="329">
        <f>AVERAGE(C5,F5,I5,L5,O5,R5,U5,X5,AA5,AD5,AJ5,AP5,AS5,AV5,AY5)</f>
        <v>1828.0386975311371</v>
      </c>
      <c r="BI5" s="3"/>
      <c r="DT5" s="5"/>
      <c r="DV5" s="5"/>
    </row>
    <row r="6" spans="1:163" ht="15.75" hidden="1" outlineLevel="1" thickBot="1" x14ac:dyDescent="0.3">
      <c r="A6" s="332"/>
      <c r="AO6" s="360"/>
      <c r="AP6" s="360"/>
      <c r="AQ6" s="353"/>
      <c r="AR6" s="360"/>
      <c r="AS6" s="360"/>
      <c r="AT6" s="353"/>
      <c r="AU6" s="360"/>
      <c r="AV6" s="360"/>
      <c r="AW6" s="353"/>
      <c r="AX6" s="360"/>
      <c r="AY6" s="360"/>
      <c r="AZ6" s="353"/>
      <c r="BA6" s="360"/>
      <c r="BB6" s="360"/>
      <c r="BC6" s="353"/>
      <c r="BD6" s="360"/>
      <c r="BE6" s="360"/>
      <c r="BF6" s="353"/>
      <c r="DT6" s="5"/>
      <c r="DV6" s="5"/>
    </row>
    <row r="7" spans="1:163" ht="15.75" hidden="1" outlineLevel="1" thickBot="1" x14ac:dyDescent="0.3">
      <c r="A7" s="324" t="s">
        <v>272</v>
      </c>
      <c r="B7" s="1017" t="s">
        <v>260</v>
      </c>
      <c r="C7" s="1018"/>
      <c r="D7" s="1018"/>
      <c r="E7" s="1019" t="s">
        <v>257</v>
      </c>
      <c r="F7" s="1020"/>
      <c r="G7" s="1020"/>
      <c r="H7" s="1007" t="s">
        <v>258</v>
      </c>
      <c r="I7" s="1008"/>
      <c r="J7" s="1008"/>
      <c r="K7" s="1017" t="s">
        <v>259</v>
      </c>
      <c r="L7" s="1018"/>
      <c r="M7" s="1018"/>
      <c r="N7" s="1010" t="s">
        <v>261</v>
      </c>
      <c r="O7" s="1011"/>
      <c r="P7" s="1011"/>
      <c r="Q7" s="1012" t="s">
        <v>81</v>
      </c>
      <c r="R7" s="1013"/>
      <c r="S7" s="1013"/>
      <c r="T7" s="1012" t="s">
        <v>262</v>
      </c>
      <c r="U7" s="1013"/>
      <c r="V7" s="1013"/>
      <c r="W7" s="1007" t="s">
        <v>263</v>
      </c>
      <c r="X7" s="1008"/>
      <c r="Y7" s="1008"/>
      <c r="Z7" s="1010" t="s">
        <v>265</v>
      </c>
      <c r="AA7" s="1011"/>
      <c r="AB7" s="1011"/>
      <c r="AC7" s="1007" t="s">
        <v>264</v>
      </c>
      <c r="AD7" s="1008"/>
      <c r="AE7" s="1008"/>
      <c r="AF7" s="1012" t="s">
        <v>266</v>
      </c>
      <c r="AG7" s="1013"/>
      <c r="AH7" s="1013"/>
      <c r="AI7" s="1012" t="s">
        <v>243</v>
      </c>
      <c r="AJ7" s="1013"/>
      <c r="AK7" s="1013"/>
      <c r="AL7" s="1007" t="s">
        <v>308</v>
      </c>
      <c r="AM7" s="1008"/>
      <c r="AN7" s="1008"/>
      <c r="AO7" s="1010" t="s">
        <v>286</v>
      </c>
      <c r="AP7" s="1011"/>
      <c r="AQ7" s="1011"/>
      <c r="AR7" s="1010" t="s">
        <v>309</v>
      </c>
      <c r="AS7" s="1011"/>
      <c r="AT7" s="1011"/>
      <c r="AU7" s="1017" t="s">
        <v>339</v>
      </c>
      <c r="AV7" s="1018"/>
      <c r="AW7" s="1018"/>
      <c r="AX7" s="1012" t="s">
        <v>394</v>
      </c>
      <c r="AY7" s="1013"/>
      <c r="AZ7" s="1013"/>
      <c r="BA7" s="1012" t="s">
        <v>532</v>
      </c>
      <c r="BB7" s="1013"/>
      <c r="BC7" s="1013"/>
      <c r="BD7" s="1010" t="s">
        <v>594</v>
      </c>
      <c r="BE7" s="1011"/>
      <c r="BF7" s="1011"/>
      <c r="BR7" s="256" t="s">
        <v>174</v>
      </c>
      <c r="CF7" s="1000" t="s">
        <v>184</v>
      </c>
      <c r="CG7" s="1000"/>
      <c r="CH7" s="1000"/>
      <c r="CI7" s="1000"/>
      <c r="CJ7" s="1000"/>
      <c r="CK7" s="1000"/>
      <c r="CL7" s="1000"/>
      <c r="CM7" s="1000"/>
      <c r="CN7" s="1014" t="s">
        <v>162</v>
      </c>
      <c r="CO7" s="1014" t="s">
        <v>111</v>
      </c>
      <c r="CP7" s="1015" t="s">
        <v>163</v>
      </c>
      <c r="CQ7" s="1015" t="s">
        <v>115</v>
      </c>
      <c r="CR7" s="1016" t="s">
        <v>164</v>
      </c>
      <c r="CS7" s="993" t="s">
        <v>113</v>
      </c>
      <c r="CT7" s="985" t="s">
        <v>165</v>
      </c>
      <c r="CU7" s="986" t="s">
        <v>69</v>
      </c>
      <c r="CV7" s="996" t="s">
        <v>166</v>
      </c>
      <c r="CW7" s="997" t="s">
        <v>80</v>
      </c>
      <c r="CX7" s="980" t="s">
        <v>167</v>
      </c>
      <c r="CY7" s="981" t="s">
        <v>93</v>
      </c>
      <c r="CZ7" s="980" t="s">
        <v>168</v>
      </c>
      <c r="DA7" s="981" t="s">
        <v>117</v>
      </c>
      <c r="DB7" s="992" t="s">
        <v>169</v>
      </c>
      <c r="DC7" s="993" t="s">
        <v>119</v>
      </c>
      <c r="DD7" s="996" t="s">
        <v>170</v>
      </c>
      <c r="DE7" s="997" t="s">
        <v>127</v>
      </c>
      <c r="DF7" s="992" t="s">
        <v>171</v>
      </c>
      <c r="DG7" s="993" t="s">
        <v>138</v>
      </c>
      <c r="DH7" s="980" t="s">
        <v>172</v>
      </c>
      <c r="DI7" s="981" t="s">
        <v>146</v>
      </c>
      <c r="DJ7" s="980" t="s">
        <v>267</v>
      </c>
      <c r="DK7" s="981" t="s">
        <v>146</v>
      </c>
      <c r="DL7" s="992" t="s">
        <v>313</v>
      </c>
      <c r="DM7" s="993" t="s">
        <v>138</v>
      </c>
      <c r="DN7" s="996" t="s">
        <v>314</v>
      </c>
      <c r="DO7" s="997" t="s">
        <v>127</v>
      </c>
      <c r="DP7" s="996" t="s">
        <v>326</v>
      </c>
      <c r="DQ7" s="997" t="s">
        <v>127</v>
      </c>
      <c r="DR7" s="985" t="s">
        <v>400</v>
      </c>
      <c r="DS7" s="986" t="s">
        <v>69</v>
      </c>
      <c r="DT7" s="980" t="s">
        <v>655</v>
      </c>
      <c r="DU7" s="981" t="s">
        <v>69</v>
      </c>
      <c r="DV7" s="980" t="s">
        <v>656</v>
      </c>
      <c r="DW7" s="981" t="s">
        <v>69</v>
      </c>
      <c r="DX7" s="235"/>
      <c r="DY7" s="235"/>
      <c r="DZ7" s="235"/>
      <c r="EA7" s="235"/>
      <c r="EB7" s="235"/>
      <c r="EC7" s="235"/>
      <c r="ED7" s="235"/>
      <c r="EE7" s="235"/>
      <c r="EF7" s="235"/>
      <c r="EG7" s="235"/>
      <c r="EH7" s="235"/>
      <c r="EI7" s="235"/>
      <c r="EJ7" s="235"/>
      <c r="EK7" s="235"/>
      <c r="EL7" s="235"/>
      <c r="EM7" s="235"/>
      <c r="EN7" s="235"/>
      <c r="EO7" s="235"/>
      <c r="EP7" s="235"/>
      <c r="EQ7" s="235"/>
      <c r="ER7" s="235"/>
      <c r="ES7" s="235"/>
      <c r="ET7" s="235"/>
      <c r="EU7" s="235"/>
      <c r="EV7" s="235"/>
      <c r="EW7" s="235"/>
      <c r="EX7" s="235"/>
      <c r="EY7" s="235"/>
      <c r="EZ7" s="235"/>
      <c r="FA7" s="235"/>
      <c r="FB7" s="235"/>
      <c r="FC7" s="235"/>
    </row>
    <row r="8" spans="1:163" hidden="1" outlineLevel="1" x14ac:dyDescent="0.25">
      <c r="A8" s="12" t="s">
        <v>24</v>
      </c>
      <c r="B8" s="171" t="s">
        <v>237</v>
      </c>
      <c r="C8" s="172" t="s">
        <v>238</v>
      </c>
      <c r="D8" s="336" t="s">
        <v>239</v>
      </c>
      <c r="E8" s="175" t="s">
        <v>40</v>
      </c>
      <c r="F8" s="176" t="s">
        <v>41</v>
      </c>
      <c r="G8" s="176" t="s">
        <v>240</v>
      </c>
      <c r="H8" s="177" t="s">
        <v>108</v>
      </c>
      <c r="I8" s="178" t="s">
        <v>109</v>
      </c>
      <c r="J8" s="178" t="s">
        <v>241</v>
      </c>
      <c r="K8" s="171" t="s">
        <v>57</v>
      </c>
      <c r="L8" s="172" t="s">
        <v>58</v>
      </c>
      <c r="M8" s="172" t="s">
        <v>244</v>
      </c>
      <c r="N8" s="173" t="s">
        <v>70</v>
      </c>
      <c r="O8" s="174" t="s">
        <v>71</v>
      </c>
      <c r="P8" s="174" t="s">
        <v>245</v>
      </c>
      <c r="Q8" s="3" t="s">
        <v>77</v>
      </c>
      <c r="R8" s="3" t="s">
        <v>78</v>
      </c>
      <c r="S8" s="3" t="s">
        <v>246</v>
      </c>
      <c r="T8" s="3" t="s">
        <v>91</v>
      </c>
      <c r="U8" s="3" t="s">
        <v>94</v>
      </c>
      <c r="V8" s="3" t="s">
        <v>247</v>
      </c>
      <c r="W8" s="177" t="s">
        <v>104</v>
      </c>
      <c r="X8" s="178" t="s">
        <v>105</v>
      </c>
      <c r="Y8" s="351" t="s">
        <v>248</v>
      </c>
      <c r="Z8" s="173" t="s">
        <v>106</v>
      </c>
      <c r="AA8" s="174" t="s">
        <v>107</v>
      </c>
      <c r="AB8" s="174" t="s">
        <v>249</v>
      </c>
      <c r="AC8" s="177" t="s">
        <v>125</v>
      </c>
      <c r="AD8" s="178" t="s">
        <v>124</v>
      </c>
      <c r="AE8" s="351" t="s">
        <v>250</v>
      </c>
      <c r="AF8" s="3" t="s">
        <v>135</v>
      </c>
      <c r="AG8" s="3" t="s">
        <v>136</v>
      </c>
      <c r="AH8" s="3" t="s">
        <v>251</v>
      </c>
      <c r="AI8" s="3" t="s">
        <v>143</v>
      </c>
      <c r="AJ8" s="3" t="s">
        <v>144</v>
      </c>
      <c r="AK8" s="3" t="s">
        <v>252</v>
      </c>
      <c r="AL8" s="177" t="s">
        <v>253</v>
      </c>
      <c r="AM8" s="178" t="s">
        <v>255</v>
      </c>
      <c r="AN8" s="351" t="s">
        <v>254</v>
      </c>
      <c r="AO8" s="173" t="s">
        <v>287</v>
      </c>
      <c r="AP8" s="174" t="s">
        <v>288</v>
      </c>
      <c r="AQ8" s="174" t="s">
        <v>289</v>
      </c>
      <c r="AR8" s="173" t="s">
        <v>310</v>
      </c>
      <c r="AS8" s="174" t="s">
        <v>311</v>
      </c>
      <c r="AT8" s="174" t="s">
        <v>343</v>
      </c>
      <c r="AU8" s="549" t="s">
        <v>340</v>
      </c>
      <c r="AV8" s="172" t="s">
        <v>341</v>
      </c>
      <c r="AW8" s="172" t="s">
        <v>342</v>
      </c>
      <c r="AX8" s="3" t="s">
        <v>395</v>
      </c>
      <c r="AY8" s="3" t="s">
        <v>396</v>
      </c>
      <c r="AZ8" s="3" t="s">
        <v>397</v>
      </c>
      <c r="BA8" s="3" t="s">
        <v>533</v>
      </c>
      <c r="BB8" s="3" t="s">
        <v>534</v>
      </c>
      <c r="BC8" s="3" t="s">
        <v>535</v>
      </c>
      <c r="BD8" s="804" t="s">
        <v>591</v>
      </c>
      <c r="BE8" s="804" t="s">
        <v>593</v>
      </c>
      <c r="BF8" s="804" t="s">
        <v>592</v>
      </c>
      <c r="BR8" s="1001" t="s">
        <v>121</v>
      </c>
      <c r="BS8" s="1002"/>
      <c r="BT8" s="1003"/>
      <c r="BU8" s="1001" t="s">
        <v>122</v>
      </c>
      <c r="BV8" s="1002"/>
      <c r="BW8" s="1003"/>
      <c r="BX8" s="1000" t="s">
        <v>268</v>
      </c>
      <c r="BY8" s="1000"/>
      <c r="BZ8" s="1000"/>
      <c r="CA8" s="1000" t="s">
        <v>269</v>
      </c>
      <c r="CB8" s="1000"/>
      <c r="CC8" s="1000"/>
      <c r="CF8" s="1000" t="s">
        <v>121</v>
      </c>
      <c r="CG8" s="1000"/>
      <c r="CH8" s="1000" t="s">
        <v>122</v>
      </c>
      <c r="CI8" s="1000"/>
      <c r="CJ8" s="1000" t="s">
        <v>66</v>
      </c>
      <c r="CK8" s="1000"/>
      <c r="CL8" s="1000" t="s">
        <v>291</v>
      </c>
      <c r="CM8" s="1000"/>
      <c r="CN8" s="1014" t="s">
        <v>39</v>
      </c>
      <c r="CO8" s="1014"/>
      <c r="CP8" s="1015" t="s">
        <v>39</v>
      </c>
      <c r="CQ8" s="1015"/>
      <c r="CR8" s="1016" t="s">
        <v>39</v>
      </c>
      <c r="CS8" s="993"/>
      <c r="CT8" s="985" t="s">
        <v>39</v>
      </c>
      <c r="CU8" s="986"/>
      <c r="CV8" s="996" t="s">
        <v>39</v>
      </c>
      <c r="CW8" s="997"/>
      <c r="CX8" s="980" t="s">
        <v>39</v>
      </c>
      <c r="CY8" s="981"/>
      <c r="CZ8" s="980" t="s">
        <v>39</v>
      </c>
      <c r="DA8" s="981"/>
      <c r="DB8" s="992" t="s">
        <v>39</v>
      </c>
      <c r="DC8" s="993"/>
      <c r="DD8" s="996" t="s">
        <v>39</v>
      </c>
      <c r="DE8" s="997"/>
      <c r="DF8" s="992" t="s">
        <v>39</v>
      </c>
      <c r="DG8" s="993"/>
      <c r="DH8" s="980" t="s">
        <v>39</v>
      </c>
      <c r="DI8" s="981"/>
      <c r="DJ8" s="980" t="s">
        <v>39</v>
      </c>
      <c r="DK8" s="981"/>
      <c r="DL8" s="992" t="s">
        <v>39</v>
      </c>
      <c r="DM8" s="993"/>
      <c r="DN8" s="996" t="s">
        <v>39</v>
      </c>
      <c r="DO8" s="997"/>
      <c r="DP8" s="996" t="s">
        <v>39</v>
      </c>
      <c r="DQ8" s="997"/>
      <c r="DR8" s="985" t="s">
        <v>39</v>
      </c>
      <c r="DS8" s="986"/>
      <c r="DT8" s="980" t="s">
        <v>39</v>
      </c>
      <c r="DU8" s="981"/>
      <c r="DV8" s="980" t="s">
        <v>39</v>
      </c>
      <c r="DW8" s="981"/>
      <c r="DX8" s="985" t="s">
        <v>161</v>
      </c>
      <c r="DY8" s="1014"/>
      <c r="DZ8" s="1015" t="s">
        <v>161</v>
      </c>
      <c r="EA8" s="1015"/>
      <c r="EB8" s="1016" t="s">
        <v>161</v>
      </c>
      <c r="EC8" s="993"/>
      <c r="ED8" s="985" t="s">
        <v>161</v>
      </c>
      <c r="EE8" s="986"/>
      <c r="EF8" s="996" t="s">
        <v>161</v>
      </c>
      <c r="EG8" s="997"/>
      <c r="EH8" s="980" t="s">
        <v>161</v>
      </c>
      <c r="EI8" s="981"/>
      <c r="EJ8" s="980" t="s">
        <v>161</v>
      </c>
      <c r="EK8" s="981"/>
      <c r="EL8" s="992" t="s">
        <v>161</v>
      </c>
      <c r="EM8" s="993"/>
      <c r="EN8" s="996" t="s">
        <v>161</v>
      </c>
      <c r="EO8" s="997"/>
      <c r="EP8" s="992" t="s">
        <v>161</v>
      </c>
      <c r="EQ8" s="993"/>
      <c r="ER8" s="980" t="s">
        <v>161</v>
      </c>
      <c r="ES8" s="981"/>
      <c r="ET8" s="980" t="s">
        <v>161</v>
      </c>
      <c r="EU8" s="981"/>
      <c r="EV8" s="992" t="s">
        <v>161</v>
      </c>
      <c r="EW8" s="993"/>
      <c r="EX8" s="996" t="s">
        <v>161</v>
      </c>
      <c r="EY8" s="997"/>
      <c r="EZ8" s="996" t="s">
        <v>161</v>
      </c>
      <c r="FA8" s="997"/>
      <c r="FB8" s="985" t="s">
        <v>161</v>
      </c>
      <c r="FC8" s="986"/>
      <c r="FD8" s="980" t="s">
        <v>161</v>
      </c>
      <c r="FE8" s="981"/>
      <c r="FF8" s="980" t="s">
        <v>161</v>
      </c>
      <c r="FG8" s="981"/>
    </row>
    <row r="9" spans="1:163" hidden="1" outlineLevel="1" x14ac:dyDescent="0.25">
      <c r="A9" s="359">
        <v>0</v>
      </c>
      <c r="B9" s="3">
        <v>0</v>
      </c>
      <c r="C9" s="3">
        <v>0</v>
      </c>
      <c r="D9" s="20" t="str">
        <f>IFERROR(Tabelle3[[#This Row],[Ned (€)]]/Tabelle3[[#This Row],[Ned (Backer)]],"")</f>
        <v/>
      </c>
      <c r="E9" s="3">
        <v>0</v>
      </c>
      <c r="F9" s="3">
        <v>0</v>
      </c>
      <c r="H9" s="3">
        <v>0</v>
      </c>
      <c r="I9" s="3">
        <v>0</v>
      </c>
      <c r="J9" s="20"/>
      <c r="K9" s="3">
        <v>0</v>
      </c>
      <c r="L9" s="3">
        <v>0</v>
      </c>
      <c r="M9" s="20"/>
      <c r="N9" s="3">
        <v>0</v>
      </c>
      <c r="O9" s="3">
        <v>0</v>
      </c>
      <c r="P9" s="20"/>
      <c r="Q9" s="3">
        <v>0</v>
      </c>
      <c r="R9" s="3">
        <v>0</v>
      </c>
      <c r="S9" s="20"/>
      <c r="T9" s="3">
        <v>0</v>
      </c>
      <c r="U9" s="3">
        <v>0</v>
      </c>
      <c r="V9" s="20"/>
      <c r="W9" s="3">
        <v>0</v>
      </c>
      <c r="X9" s="3">
        <v>0</v>
      </c>
      <c r="Y9" s="20"/>
      <c r="Z9" s="3">
        <v>0</v>
      </c>
      <c r="AA9" s="3">
        <v>0</v>
      </c>
      <c r="AB9" s="20"/>
      <c r="AC9" s="3">
        <v>0</v>
      </c>
      <c r="AD9" s="3">
        <v>0</v>
      </c>
      <c r="AE9" s="20"/>
      <c r="AF9" s="3">
        <v>0</v>
      </c>
      <c r="AG9" s="3">
        <v>0</v>
      </c>
      <c r="AH9" s="20"/>
      <c r="AI9" s="3">
        <v>0</v>
      </c>
      <c r="AJ9" s="3">
        <v>0</v>
      </c>
      <c r="AK9" s="20"/>
      <c r="AL9" s="3">
        <v>0</v>
      </c>
      <c r="AM9" s="3">
        <v>0</v>
      </c>
      <c r="AN9" s="20"/>
      <c r="AO9" s="3">
        <v>0</v>
      </c>
      <c r="AP9" s="3">
        <v>0</v>
      </c>
      <c r="AQ9" s="20"/>
      <c r="AR9" s="3">
        <v>0</v>
      </c>
      <c r="AS9" s="3">
        <v>0</v>
      </c>
      <c r="AT9" s="20"/>
      <c r="AU9" s="3">
        <v>0</v>
      </c>
      <c r="AV9" s="3">
        <v>0</v>
      </c>
      <c r="AW9" s="20" t="e">
        <f>Tabelle3[[#This Row],[AKM (€)]]/Tabelle3[[#This Row],[AKM(Backer)]]</f>
        <v>#DIV/0!</v>
      </c>
      <c r="AX9" s="3">
        <v>0</v>
      </c>
      <c r="AY9" s="3">
        <v>0</v>
      </c>
      <c r="AZ9" s="20" t="e">
        <f>Tabelle3[[#This Row],[Lex (€)]]/Tabelle3[[#This Row],[Lex(Backer)]]</f>
        <v>#DIV/0!</v>
      </c>
      <c r="BA9" s="3">
        <v>0</v>
      </c>
      <c r="BB9" s="3">
        <v>0</v>
      </c>
      <c r="BC9" s="20"/>
      <c r="BD9" s="656">
        <v>0</v>
      </c>
      <c r="BE9" s="656">
        <v>0</v>
      </c>
      <c r="BF9" s="20"/>
      <c r="BP9" s="167"/>
      <c r="BQ9" s="167"/>
      <c r="BR9" s="254" t="s">
        <v>11</v>
      </c>
      <c r="BS9" s="254" t="s">
        <v>42</v>
      </c>
      <c r="BT9" s="255" t="s">
        <v>173</v>
      </c>
      <c r="BU9" s="255" t="s">
        <v>11</v>
      </c>
      <c r="BV9" s="254" t="s">
        <v>42</v>
      </c>
      <c r="BW9" s="255" t="s">
        <v>173</v>
      </c>
      <c r="BX9" s="255" t="s">
        <v>11</v>
      </c>
      <c r="BY9" s="254" t="s">
        <v>42</v>
      </c>
      <c r="BZ9" s="255" t="s">
        <v>173</v>
      </c>
      <c r="CA9" s="255" t="s">
        <v>11</v>
      </c>
      <c r="CB9" s="254" t="s">
        <v>42</v>
      </c>
      <c r="CC9" s="255" t="s">
        <v>173</v>
      </c>
      <c r="CD9" s="167"/>
      <c r="CE9" s="167"/>
      <c r="CF9" s="251" t="s">
        <v>11</v>
      </c>
      <c r="CG9" s="251" t="s">
        <v>42</v>
      </c>
      <c r="CH9" s="252" t="s">
        <v>11</v>
      </c>
      <c r="CI9" s="251" t="s">
        <v>42</v>
      </c>
      <c r="CJ9" s="252" t="s">
        <v>11</v>
      </c>
      <c r="CK9" s="251" t="s">
        <v>42</v>
      </c>
      <c r="CL9" s="252" t="s">
        <v>11</v>
      </c>
      <c r="CM9" s="251" t="s">
        <v>42</v>
      </c>
      <c r="CN9" s="237" t="s">
        <v>110</v>
      </c>
      <c r="CO9" s="236" t="s">
        <v>111</v>
      </c>
      <c r="CP9" s="239" t="s">
        <v>114</v>
      </c>
      <c r="CQ9" s="240" t="s">
        <v>115</v>
      </c>
      <c r="CR9" s="241" t="s">
        <v>112</v>
      </c>
      <c r="CS9" s="242" t="s">
        <v>113</v>
      </c>
      <c r="CT9" s="237" t="s">
        <v>68</v>
      </c>
      <c r="CU9" s="243" t="s">
        <v>69</v>
      </c>
      <c r="CV9" s="238" t="s">
        <v>79</v>
      </c>
      <c r="CW9" s="244" t="s">
        <v>80</v>
      </c>
      <c r="CX9" s="245" t="s">
        <v>92</v>
      </c>
      <c r="CY9" s="246" t="s">
        <v>93</v>
      </c>
      <c r="CZ9" s="245" t="s">
        <v>116</v>
      </c>
      <c r="DA9" s="246" t="s">
        <v>117</v>
      </c>
      <c r="DB9" s="241" t="s">
        <v>118</v>
      </c>
      <c r="DC9" s="242" t="s">
        <v>119</v>
      </c>
      <c r="DD9" s="238" t="s">
        <v>126</v>
      </c>
      <c r="DE9" s="244" t="s">
        <v>127</v>
      </c>
      <c r="DF9" s="241" t="s">
        <v>137</v>
      </c>
      <c r="DG9" s="242" t="s">
        <v>138</v>
      </c>
      <c r="DH9" s="245" t="s">
        <v>145</v>
      </c>
      <c r="DI9" s="246" t="s">
        <v>146</v>
      </c>
      <c r="DJ9" s="245" t="s">
        <v>145</v>
      </c>
      <c r="DK9" s="246" t="s">
        <v>146</v>
      </c>
      <c r="DL9" s="241" t="s">
        <v>137</v>
      </c>
      <c r="DM9" s="242" t="s">
        <v>138</v>
      </c>
      <c r="DN9" s="238" t="s">
        <v>126</v>
      </c>
      <c r="DO9" s="244" t="s">
        <v>127</v>
      </c>
      <c r="DP9" s="238" t="s">
        <v>126</v>
      </c>
      <c r="DQ9" s="244" t="s">
        <v>127</v>
      </c>
      <c r="DR9" s="237" t="s">
        <v>401</v>
      </c>
      <c r="DS9" s="243" t="s">
        <v>402</v>
      </c>
      <c r="DT9" s="245" t="s">
        <v>536</v>
      </c>
      <c r="DU9" s="246" t="s">
        <v>537</v>
      </c>
      <c r="DV9" s="245" t="s">
        <v>657</v>
      </c>
      <c r="DW9" s="246" t="s">
        <v>658</v>
      </c>
      <c r="DX9" s="987" t="s">
        <v>162</v>
      </c>
      <c r="DY9" s="1032"/>
      <c r="DZ9" s="1030" t="s">
        <v>163</v>
      </c>
      <c r="EA9" s="1030"/>
      <c r="EB9" s="1031" t="s">
        <v>164</v>
      </c>
      <c r="EC9" s="995"/>
      <c r="ED9" s="987" t="s">
        <v>165</v>
      </c>
      <c r="EE9" s="988"/>
      <c r="EF9" s="998" t="s">
        <v>166</v>
      </c>
      <c r="EG9" s="999"/>
      <c r="EH9" s="982" t="s">
        <v>167</v>
      </c>
      <c r="EI9" s="983"/>
      <c r="EJ9" s="982" t="s">
        <v>168</v>
      </c>
      <c r="EK9" s="983"/>
      <c r="EL9" s="994" t="s">
        <v>169</v>
      </c>
      <c r="EM9" s="995"/>
      <c r="EN9" s="998" t="s">
        <v>170</v>
      </c>
      <c r="EO9" s="999"/>
      <c r="EP9" s="994" t="s">
        <v>171</v>
      </c>
      <c r="EQ9" s="995"/>
      <c r="ER9" s="982" t="s">
        <v>172</v>
      </c>
      <c r="ES9" s="983"/>
      <c r="ET9" s="982" t="s">
        <v>267</v>
      </c>
      <c r="EU9" s="983"/>
      <c r="EV9" s="994" t="s">
        <v>313</v>
      </c>
      <c r="EW9" s="995"/>
      <c r="EX9" s="998" t="s">
        <v>314</v>
      </c>
      <c r="EY9" s="999"/>
      <c r="EZ9" s="998" t="s">
        <v>326</v>
      </c>
      <c r="FA9" s="999"/>
      <c r="FB9" s="987" t="s">
        <v>400</v>
      </c>
      <c r="FC9" s="988"/>
      <c r="FD9" s="982" t="s">
        <v>538</v>
      </c>
      <c r="FE9" s="983"/>
      <c r="FF9" s="982" t="s">
        <v>656</v>
      </c>
      <c r="FG9" s="983"/>
    </row>
    <row r="10" spans="1:163" ht="15.75" hidden="1" outlineLevel="1" thickBot="1" x14ac:dyDescent="0.3">
      <c r="A10" s="359">
        <v>1</v>
      </c>
      <c r="B10" s="3">
        <v>14771</v>
      </c>
      <c r="C10" s="3">
        <v>73</v>
      </c>
      <c r="D10" s="20">
        <f>IFERROR(Tabelle3[[#This Row],[Ned (€)]]/Tabelle3[[#This Row],[Ned (Backer)]],"")</f>
        <v>202.34246575342465</v>
      </c>
      <c r="E10" s="3">
        <v>43437</v>
      </c>
      <c r="F10" s="3">
        <v>179</v>
      </c>
      <c r="G10" s="20">
        <f>Tabelle3[[#This Row],[Werkzeuge (€)]]/Tabelle3[[#This Row],[Werkzeuge (Backer)]]</f>
        <v>242.66480446927375</v>
      </c>
      <c r="H10" s="3">
        <v>36402</v>
      </c>
      <c r="I10" s="3">
        <v>195</v>
      </c>
      <c r="J10" s="20">
        <f>Tabelle3[[#This Row],[DSK Fasar (€)]]/Tabelle3[[#This Row],[DSK Fasar (Backer)]]</f>
        <v>186.67692307692309</v>
      </c>
      <c r="K10" s="3">
        <v>19612</v>
      </c>
      <c r="L10" s="3">
        <v>115</v>
      </c>
      <c r="M10" s="20">
        <f>Tabelle3[[#This Row],[Mythen (€)]]/Tabelle3[[#This Row],[Mythen (Backer)]]</f>
        <v>170.53913043478261</v>
      </c>
      <c r="N10" s="3">
        <v>89735</v>
      </c>
      <c r="O10" s="3">
        <v>625</v>
      </c>
      <c r="P10" s="20">
        <f>Tabelle3[[#This Row],[SOK (€)]]/Tabelle3[[#This Row],[SOK (Backer)]]</f>
        <v>143.57599999999999</v>
      </c>
      <c r="Q10" s="3">
        <v>82966</v>
      </c>
      <c r="R10" s="3">
        <v>341</v>
      </c>
      <c r="S10" s="20">
        <f>Tabelle3[[#This Row],[RE (€)]]/Tabelle3[[#This Row],[RE (Backer)]]</f>
        <v>243.30205278592376</v>
      </c>
      <c r="T10" s="3">
        <v>76466</v>
      </c>
      <c r="U10" s="3">
        <v>317</v>
      </c>
      <c r="V10" s="20">
        <f>Tabelle3[[#This Row],[DGG (€)]]/Tabelle3[[#This Row],[DGG (Backer)]]</f>
        <v>241.21766561514195</v>
      </c>
      <c r="W10" s="3">
        <v>26725</v>
      </c>
      <c r="X10" s="3">
        <v>136</v>
      </c>
      <c r="Y10" s="20">
        <f>Tabelle3[[#This Row],[DSK SV (€)]]/Tabelle3[[#This Row],[DSK SV (Backer)]]</f>
        <v>196.50735294117646</v>
      </c>
      <c r="Z10" s="3">
        <v>97183</v>
      </c>
      <c r="AA10" s="3">
        <v>489</v>
      </c>
      <c r="AB10" s="20">
        <f>Tabelle3[[#This Row],[WW (€)]]/Tabelle3[[#This Row],[WW (Backer)]]</f>
        <v>198.73824130879345</v>
      </c>
      <c r="AC10" s="3">
        <v>8357</v>
      </c>
      <c r="AD10" s="3">
        <v>67</v>
      </c>
      <c r="AE10" s="20">
        <f>Tabelle3[[#This Row],[DSK R (€)]]/Tabelle3[[#This Row],[DSK R (Backer)]]</f>
        <v>124.73134328358209</v>
      </c>
      <c r="AF10" s="3">
        <v>39596</v>
      </c>
      <c r="AG10" s="3">
        <v>180</v>
      </c>
      <c r="AH10" s="20">
        <f>Tabelle3[[#This Row],[Ära (€)]]/Tabelle3[[#This Row],[Ära (Backer)]]</f>
        <v>219.97777777777779</v>
      </c>
      <c r="AI10" s="3">
        <v>25960</v>
      </c>
      <c r="AJ10" s="3">
        <v>347</v>
      </c>
      <c r="AK10" s="20">
        <f>Tabelle3[[#This Row],[Mosaik (€)]]/Tabelle3[[#This Row],[Mosaik (Backer)]]</f>
        <v>74.812680115273778</v>
      </c>
      <c r="AL10" s="3">
        <v>17251</v>
      </c>
      <c r="AM10" s="3">
        <v>121</v>
      </c>
      <c r="AN10" s="20">
        <f>Tabelle3[[#This Row],[DSK ES (€)]]/Tabelle3[[#This Row],[DSK ES (Backer)]]</f>
        <v>142.5702479338843</v>
      </c>
      <c r="AO10" s="3">
        <v>88345</v>
      </c>
      <c r="AP10" s="3">
        <v>396</v>
      </c>
      <c r="AQ10" s="20">
        <f>Tabelle3[[#This Row],[ES (€)]]/Tabelle3[[#This Row],[ES (Backer)]]</f>
        <v>223.09343434343435</v>
      </c>
      <c r="AR10" s="3">
        <v>117333.01</v>
      </c>
      <c r="AS10" s="3">
        <v>504</v>
      </c>
      <c r="AT10" s="20">
        <f>Tabelle3[[#This Row],[WF (€)]]/Tabelle3[[#This Row],[WF(Backer)]]</f>
        <v>232.80359126984126</v>
      </c>
      <c r="AU10" s="3">
        <v>183428.34</v>
      </c>
      <c r="AV10" s="3">
        <v>929</v>
      </c>
      <c r="AW10" s="20">
        <f>Tabelle3[[#This Row],[AKM (€)]]/Tabelle3[[#This Row],[AKM(Backer)]]</f>
        <v>197.44708288482238</v>
      </c>
      <c r="AX10" s="3">
        <v>0</v>
      </c>
      <c r="AY10" s="3">
        <v>0</v>
      </c>
      <c r="AZ10" s="20" t="e">
        <f>Tabelle3[[#This Row],[Lex (€)]]/Tabelle3[[#This Row],[Lex(Backer)]]</f>
        <v>#DIV/0!</v>
      </c>
      <c r="BA10" s="3">
        <v>128054</v>
      </c>
      <c r="BB10" s="3">
        <v>550</v>
      </c>
      <c r="BC10" s="20">
        <f>Tabelle3[[#This Row],[KA (€)]]/Tabelle3[[#This Row],[KA (Backer)]]</f>
        <v>232.82545454545453</v>
      </c>
      <c r="BD10" s="656">
        <f>'Übersicht &amp; Anleitung'!AR57</f>
        <v>136568</v>
      </c>
      <c r="BE10" s="656">
        <f>'Übersicht &amp; Anleitung'!AS57</f>
        <v>723</v>
      </c>
      <c r="BF10" s="20">
        <f>Tabelle3[[#This Row],[MAR (€)]]/Tabelle3[[#This Row],[MAR (Backer)]]</f>
        <v>188.89073305670817</v>
      </c>
      <c r="BQ10" s="374" t="s">
        <v>59</v>
      </c>
      <c r="BR10" s="6">
        <f>$BD10*$CF10</f>
        <v>363852.09490165487</v>
      </c>
      <c r="BS10" s="6">
        <f>$BE10*$CG10</f>
        <v>1924.9151999999999</v>
      </c>
      <c r="BT10" s="21">
        <f>BR10/BS10</f>
        <v>189.02240207862397</v>
      </c>
      <c r="BU10" s="6">
        <f>$BD10*$CH10</f>
        <v>642802.59354434349</v>
      </c>
      <c r="BV10" s="6">
        <f>$BE10*$CI10</f>
        <v>3515.3489736070383</v>
      </c>
      <c r="BW10" s="21">
        <f>BU10/BV10</f>
        <v>182.85598339466563</v>
      </c>
      <c r="BX10" s="3">
        <f t="shared" ref="BX10" si="1">AVERAGE(BR10,BU10)</f>
        <v>503327.34422299918</v>
      </c>
      <c r="BY10" s="3">
        <f t="shared" ref="BY10" si="2">AVERAGE(BS10,BV10)</f>
        <v>2720.1320868035191</v>
      </c>
      <c r="BZ10" s="21">
        <f>BX10/BY10</f>
        <v>185.03783204677723</v>
      </c>
      <c r="CA10" s="3">
        <f>$BD10*$CJ10</f>
        <v>491621.92919104267</v>
      </c>
      <c r="CB10" s="3">
        <f>$BE10*$CK10</f>
        <v>2670.5819842793303</v>
      </c>
      <c r="CC10" s="21">
        <f>CA10/CB10</f>
        <v>184.08793741777197</v>
      </c>
      <c r="CE10" s="374" t="s">
        <v>59</v>
      </c>
      <c r="CF10" s="818">
        <f>MIN(CN10,CP10,CR10,CT10,CV10,CX10,CZ10,DB10,DD10,DF10,DH10,DJ10,DN10,DP10,DR10,DV10)</f>
        <v>2.664255864489887</v>
      </c>
      <c r="CG10" s="818">
        <f>MIN(CO10,CQ10,CS10,CU10,CW10,CY10,DA10,DC10,DE10,DG10,DI10,DK10,DO10,DQ10,DS10,DW10)</f>
        <v>2.6623999999999999</v>
      </c>
      <c r="CH10" s="818">
        <f>MAX(CN10,CP10,CR10,CT10,CV10,CX10,CZ10,DB10,DD10,DF10,DJ10,DN10,DP10,DR10,DV10)</f>
        <v>4.7068317141961771</v>
      </c>
      <c r="CI10" s="818">
        <f>MAX(CO10,CQ10,CS10,CU10,CW10,CY10,DA10,DC10,DE10,DG10,DK10,DO10,DQ10,DS10,DW10)</f>
        <v>4.8621700879765397</v>
      </c>
      <c r="CJ10" s="818">
        <f>AVERAGE(CN10,CP10,CR10,CT10,CV10,CX10,CZ10,DB10,DD10,DF10,DJ10,DN10,DP10,DR10,DV10)</f>
        <v>3.5998325317134516</v>
      </c>
      <c r="CK10" s="818">
        <f>AVERAGE(CO10,CQ10,CS10,CU10,CW10,CY10,DA10,DC10,DE10,DG10,DK10,DO10,DQ10,DS10,DW10)</f>
        <v>3.6937510156007334</v>
      </c>
      <c r="CL10" s="818">
        <f>CH10-CF10</f>
        <v>2.04257584970629</v>
      </c>
      <c r="CM10" s="818">
        <f t="shared" ref="CM10:CM30" si="3">CI10-CG10</f>
        <v>2.1997700879765398</v>
      </c>
      <c r="CN10" s="15">
        <f t="shared" ref="CN10:CN30" si="4">B$30/B10</f>
        <v>4.2207704285424139</v>
      </c>
      <c r="CO10" s="7">
        <f t="shared" ref="CO10:CO30" si="5">C$30/C10</f>
        <v>4.7534246575342465</v>
      </c>
      <c r="CP10" s="4">
        <f t="shared" ref="CP10:CP30" si="6">E$30/E10</f>
        <v>3.9298524299560285</v>
      </c>
      <c r="CQ10" s="7">
        <f t="shared" ref="CQ10:CQ30" si="7">F$30/F10</f>
        <v>4.2234636871508382</v>
      </c>
      <c r="CR10" s="10">
        <f t="shared" ref="CR10:CR30" si="8">H$30/H10</f>
        <v>3.3980001098840722</v>
      </c>
      <c r="CS10" s="25">
        <f t="shared" ref="CS10:CS30" si="9">I$30/I10</f>
        <v>3.3743589743589744</v>
      </c>
      <c r="CT10" s="10">
        <f t="shared" ref="CT10:CT30" si="10">K$30/K10</f>
        <v>4.5885682235366101</v>
      </c>
      <c r="CU10" s="25">
        <f t="shared" ref="CU10:CU30" si="11">L$30/L10</f>
        <v>4.321739130434783</v>
      </c>
      <c r="CV10" s="10">
        <f t="shared" ref="CV10:CV30" si="12">N$30/N10</f>
        <v>2.664255864489887</v>
      </c>
      <c r="CW10" s="25">
        <f t="shared" ref="CW10:CW30" si="13">O$30/O10</f>
        <v>2.6623999999999999</v>
      </c>
      <c r="CX10" s="10">
        <f t="shared" ref="CX10:CX30" si="14">Q$30/Q10</f>
        <v>4.7068317141961771</v>
      </c>
      <c r="CY10" s="25">
        <f t="shared" ref="CY10:CY30" si="15">R$30/R10</f>
        <v>4.8621700879765397</v>
      </c>
      <c r="CZ10" s="10">
        <f t="shared" ref="CZ10:CZ30" si="16">T$30/T10</f>
        <v>3.0265739021264353</v>
      </c>
      <c r="DA10" s="25">
        <f t="shared" ref="DA10:DA30" si="17">U$30/U10</f>
        <v>3.0757097791798107</v>
      </c>
      <c r="DB10" s="10">
        <f t="shared" ref="DB10:DB30" si="18">W$30/W10</f>
        <v>4.3073152478952288</v>
      </c>
      <c r="DC10" s="25">
        <f t="shared" ref="DC10:DC30" si="19">X$30/X10</f>
        <v>4.742647058823529</v>
      </c>
      <c r="DD10" s="10">
        <f t="shared" ref="DD10:DD30" si="20">Z$30/Z10</f>
        <v>3.3383925172098001</v>
      </c>
      <c r="DE10" s="25">
        <f t="shared" ref="DE10:DE30" si="21">AA$30/AA10</f>
        <v>3.4355828220858897</v>
      </c>
      <c r="DF10" s="10">
        <f t="shared" ref="DF10:DF30" si="22">AC$30/AC10</f>
        <v>4.3374416656694983</v>
      </c>
      <c r="DG10" s="25">
        <f t="shared" ref="DG10:DG30" si="23">AD$30/AD10</f>
        <v>4.0149253731343286</v>
      </c>
      <c r="DH10" s="10">
        <f t="shared" ref="DH10:DH30" si="24">AF$30/AF10</f>
        <v>6.294044853015456</v>
      </c>
      <c r="DI10" s="25">
        <f t="shared" ref="DI10:DI30" si="25">AG$30/AG10</f>
        <v>6.3111111111111109</v>
      </c>
      <c r="DJ10" s="10">
        <f t="shared" ref="DJ10:DJ30" si="26">AI$30/AI10</f>
        <v>3.2375577812018488</v>
      </c>
      <c r="DK10" s="25">
        <f t="shared" ref="DK10:DK30" si="27">AJ$30/AJ10</f>
        <v>3.3342939481268012</v>
      </c>
      <c r="DL10" s="10">
        <f>AL$30/AL10</f>
        <v>3.6303402701292677</v>
      </c>
      <c r="DM10" s="25">
        <f>AM$30/AM10</f>
        <v>3.5123966942148761</v>
      </c>
      <c r="DN10" s="10">
        <f t="shared" ref="DN10:DN30" si="28">AO$30/AO10</f>
        <v>3.4823589337257341</v>
      </c>
      <c r="DO10" s="25">
        <f t="shared" ref="DO10:DO30" si="29">AP$30/AP10</f>
        <v>3.7070707070707072</v>
      </c>
      <c r="DP10" s="10">
        <f t="shared" ref="DP10:DP30" si="30">AR$30/AR10</f>
        <v>2.9148370096360776</v>
      </c>
      <c r="DQ10" s="25">
        <f t="shared" ref="DQ10:DQ30" si="31">AS$30/AS10</f>
        <v>3.0674603174603177</v>
      </c>
      <c r="DR10" s="10">
        <f>AU$30/AU10</f>
        <v>3.0561059430620152</v>
      </c>
      <c r="DS10" s="25">
        <f t="shared" ref="DS10:DS30" si="32">AV$30/AV10</f>
        <v>2.8837459634015068</v>
      </c>
      <c r="DT10" s="10"/>
      <c r="DU10" s="25"/>
      <c r="DV10" s="10">
        <f t="shared" ref="DV10:DV30" si="33">BA$30/BA10</f>
        <v>2.788626204569947</v>
      </c>
      <c r="DW10" s="25">
        <f t="shared" ref="DW10:DW30" si="34">BB$30/BB10</f>
        <v>2.9472727272727273</v>
      </c>
      <c r="DX10" s="16"/>
      <c r="DY10" s="18">
        <f t="shared" ref="DY10:DY30" si="35">CN10-CO10</f>
        <v>-0.53265422899183257</v>
      </c>
      <c r="DZ10" s="19"/>
      <c r="EA10" s="18">
        <f t="shared" ref="EA10:EA30" si="36">CP10-CQ10</f>
        <v>-0.29361125719480974</v>
      </c>
      <c r="EB10" s="19"/>
      <c r="EC10" s="17">
        <f t="shared" ref="EC10:EC30" si="37">CR10-CS10</f>
        <v>2.3641135525097834E-2</v>
      </c>
      <c r="ED10" s="19"/>
      <c r="EE10" s="17">
        <f t="shared" ref="EE10:EE30" si="38">CT10-CU10</f>
        <v>0.26682909310182712</v>
      </c>
      <c r="EF10" s="19"/>
      <c r="EG10" s="17">
        <f t="shared" ref="EG10:EG30" si="39">CV10-CW10</f>
        <v>1.8558644898871712E-3</v>
      </c>
      <c r="EH10" s="19"/>
      <c r="EI10" s="17">
        <f t="shared" ref="EI10:EI30" si="40">CX10-CY10</f>
        <v>-0.15533837378036264</v>
      </c>
      <c r="EJ10" s="19"/>
      <c r="EK10" s="17">
        <f t="shared" ref="EK10:EK30" si="41">CZ10-DA10</f>
        <v>-4.913587705337541E-2</v>
      </c>
      <c r="EL10" s="19"/>
      <c r="EM10" s="17">
        <f t="shared" ref="EM10:EM30" si="42">DB10-DC10</f>
        <v>-0.4353318109283002</v>
      </c>
      <c r="EN10" s="19"/>
      <c r="EO10" s="17">
        <f t="shared" ref="EO10:EO30" si="43">DD10-DE10</f>
        <v>-9.7190304876089595E-2</v>
      </c>
      <c r="EP10" s="19"/>
      <c r="EQ10" s="17">
        <f t="shared" ref="EQ10:EQ30" si="44">DF10-DG10</f>
        <v>0.32251629253516967</v>
      </c>
      <c r="ER10" s="19"/>
      <c r="ES10" s="17">
        <f t="shared" ref="ES10:ES30" si="45">DH10-DI10</f>
        <v>-1.7066258095654874E-2</v>
      </c>
      <c r="ET10" s="19"/>
      <c r="EU10" s="17">
        <f t="shared" ref="EU10:EU30" si="46">DJ10-DK10</f>
        <v>-9.673616692495246E-2</v>
      </c>
      <c r="EV10" s="19"/>
      <c r="EW10" s="17">
        <f t="shared" ref="EW10:EW30" si="47">DL10-DM10</f>
        <v>0.11794357591439164</v>
      </c>
      <c r="EX10" s="19"/>
      <c r="EY10" s="17">
        <f t="shared" ref="EY10:EY30" si="48">DN10-DO10</f>
        <v>-0.22471177334497305</v>
      </c>
      <c r="EZ10" s="19"/>
      <c r="FA10" s="17">
        <f t="shared" ref="FA10:FA30" si="49">DP10-DQ10</f>
        <v>-0.15262330782424005</v>
      </c>
      <c r="FB10" s="19"/>
      <c r="FC10" s="18">
        <f t="shared" ref="FC10:FC30" si="50">DR10-DS10</f>
        <v>0.17235997966050842</v>
      </c>
      <c r="FD10" s="19"/>
      <c r="FE10" s="751"/>
      <c r="FF10" s="19"/>
      <c r="FG10" s="751"/>
    </row>
    <row r="11" spans="1:163" ht="15.75" hidden="1" outlineLevel="1" thickBot="1" x14ac:dyDescent="0.3">
      <c r="A11" s="359">
        <v>2</v>
      </c>
      <c r="B11" s="3">
        <v>16764</v>
      </c>
      <c r="C11" s="3">
        <v>82</v>
      </c>
      <c r="D11" s="20">
        <f>IFERROR(Tabelle3[[#This Row],[Ned (€)]]/Tabelle3[[#This Row],[Ned (Backer)]],"")</f>
        <v>204.4390243902439</v>
      </c>
      <c r="E11" s="3">
        <v>49522</v>
      </c>
      <c r="F11" s="3">
        <v>206</v>
      </c>
      <c r="G11" s="20">
        <f>Tabelle3[[#This Row],[Werkzeuge (€)]]/Tabelle3[[#This Row],[Werkzeuge (Backer)]]</f>
        <v>240.39805825242718</v>
      </c>
      <c r="H11" s="3">
        <v>42659</v>
      </c>
      <c r="I11" s="3">
        <v>233</v>
      </c>
      <c r="J11" s="20">
        <f>Tabelle3[[#This Row],[DSK Fasar (€)]]/Tabelle3[[#This Row],[DSK Fasar (Backer)]]</f>
        <v>183.08583690987123</v>
      </c>
      <c r="K11" s="3">
        <v>24532</v>
      </c>
      <c r="L11" s="3">
        <v>145</v>
      </c>
      <c r="M11" s="20">
        <f>Tabelle3[[#This Row],[Mythen (€)]]/Tabelle3[[#This Row],[Mythen (Backer)]]</f>
        <v>169.18620689655174</v>
      </c>
      <c r="N11" s="3">
        <v>114003</v>
      </c>
      <c r="O11" s="3">
        <v>789</v>
      </c>
      <c r="P11" s="358">
        <f>Tabelle3[[#This Row],[SOK (€)]]/Tabelle3[[#This Row],[SOK (Backer)]]</f>
        <v>144.49049429657794</v>
      </c>
      <c r="Q11" s="3">
        <v>96328</v>
      </c>
      <c r="R11" s="3">
        <v>404</v>
      </c>
      <c r="S11" s="20">
        <f>Tabelle3[[#This Row],[RE (€)]]/Tabelle3[[#This Row],[RE (Backer)]]</f>
        <v>238.43564356435644</v>
      </c>
      <c r="T11" s="3">
        <v>100197</v>
      </c>
      <c r="U11" s="3">
        <v>417</v>
      </c>
      <c r="V11" s="20">
        <f>Tabelle3[[#This Row],[DGG (€)]]/Tabelle3[[#This Row],[DGG (Backer)]]</f>
        <v>240.28057553956833</v>
      </c>
      <c r="W11" s="3">
        <v>32416</v>
      </c>
      <c r="X11" s="3">
        <v>172</v>
      </c>
      <c r="Y11" s="20">
        <f>Tabelle3[[#This Row],[DSK SV (€)]]/Tabelle3[[#This Row],[DSK SV (Backer)]]</f>
        <v>188.46511627906978</v>
      </c>
      <c r="Z11" s="3">
        <v>121393</v>
      </c>
      <c r="AA11" s="3">
        <v>618</v>
      </c>
      <c r="AB11" s="20">
        <f>Tabelle3[[#This Row],[WW (€)]]/Tabelle3[[#This Row],[WW (Backer)]]</f>
        <v>196.42880258899677</v>
      </c>
      <c r="AC11" s="3">
        <v>11433</v>
      </c>
      <c r="AD11" s="3">
        <v>89</v>
      </c>
      <c r="AE11" s="358">
        <f>Tabelle3[[#This Row],[DSK R (€)]]/Tabelle3[[#This Row],[DSK R (Backer)]]</f>
        <v>128.46067415730337</v>
      </c>
      <c r="AF11" s="3">
        <v>55623</v>
      </c>
      <c r="AG11" s="3">
        <v>256</v>
      </c>
      <c r="AH11" s="20">
        <f>Tabelle3[[#This Row],[Ära (€)]]/Tabelle3[[#This Row],[Ära (Backer)]]</f>
        <v>217.27734375</v>
      </c>
      <c r="AI11" s="3">
        <v>35712</v>
      </c>
      <c r="AJ11" s="3">
        <v>483</v>
      </c>
      <c r="AK11" s="20">
        <f>Tabelle3[[#This Row],[Mosaik (€)]]/Tabelle3[[#This Row],[Mosaik (Backer)]]</f>
        <v>73.937888198757761</v>
      </c>
      <c r="AL11" s="375"/>
      <c r="AM11" s="375"/>
      <c r="AN11" s="395"/>
      <c r="AO11" s="3">
        <v>113466</v>
      </c>
      <c r="AP11" s="3">
        <v>516</v>
      </c>
      <c r="AQ11" s="20">
        <f>Tabelle3[[#This Row],[ES (€)]]/Tabelle3[[#This Row],[ES (Backer)]]</f>
        <v>219.8953488372093</v>
      </c>
      <c r="AR11" s="3">
        <v>142540.60999999999</v>
      </c>
      <c r="AS11" s="3">
        <v>617</v>
      </c>
      <c r="AT11" s="20">
        <f>Tabelle3[[#This Row],[WF (€)]]/Tabelle3[[#This Row],[WF(Backer)]]</f>
        <v>231.02205834683951</v>
      </c>
      <c r="AU11" s="3">
        <v>211630.27</v>
      </c>
      <c r="AV11" s="3">
        <v>1062</v>
      </c>
      <c r="AW11" s="20">
        <f>Tabelle3[[#This Row],[AKM (€)]]/Tabelle3[[#This Row],[AKM(Backer)]]</f>
        <v>199.27520715630885</v>
      </c>
      <c r="AX11" s="3">
        <v>104949</v>
      </c>
      <c r="AY11" s="3">
        <v>354</v>
      </c>
      <c r="AZ11" s="20">
        <f>Tabelle3[[#This Row],[Lex (€)]]/Tabelle3[[#This Row],[Lex(Backer)]]</f>
        <v>296.46610169491527</v>
      </c>
      <c r="BA11" s="3">
        <v>153928</v>
      </c>
      <c r="BB11" s="3">
        <v>683</v>
      </c>
      <c r="BC11" s="20">
        <f>Tabelle3[[#This Row],[KA (€)]]/Tabelle3[[#This Row],[KA (Backer)]]</f>
        <v>225.37042459736458</v>
      </c>
      <c r="BD11" s="656">
        <f>'Übersicht &amp; Anleitung'!AR58</f>
        <v>155624</v>
      </c>
      <c r="BE11" s="656">
        <f>'Übersicht &amp; Anleitung'!AS58</f>
        <v>827</v>
      </c>
      <c r="BF11" s="20">
        <f>Tabelle3[[#This Row],[MAR (€)]]/Tabelle3[[#This Row],[MAR (Backer)]]</f>
        <v>188.17896009673518</v>
      </c>
      <c r="BQ11" s="374" t="s">
        <v>60</v>
      </c>
      <c r="BR11" s="6">
        <f>$BD11*$CF11</f>
        <v>326360.87688920466</v>
      </c>
      <c r="BS11" s="6">
        <f>$BE11*$CG11</f>
        <v>1744.1419518377695</v>
      </c>
      <c r="BT11" s="21">
        <f>BR11/BS11</f>
        <v>187.11829994417849</v>
      </c>
      <c r="BU11" s="6">
        <f>$BD11*$CH11</f>
        <v>630888.85233784572</v>
      </c>
      <c r="BV11" s="6">
        <f>$BE11*$CI11</f>
        <v>3499.6219512195121</v>
      </c>
      <c r="BW11" s="21">
        <f>BU11/BV11</f>
        <v>180.27342985375896</v>
      </c>
      <c r="BX11" s="3">
        <f t="shared" ref="BX11" si="51">AVERAGE(BR11,BU11)</f>
        <v>478624.86461352522</v>
      </c>
      <c r="BY11" s="3">
        <f t="shared" ref="BY11" si="52">AVERAGE(BS11,BV11)</f>
        <v>2621.8819515286409</v>
      </c>
      <c r="BZ11" s="21">
        <f>BX11/BY11</f>
        <v>182.55011989936148</v>
      </c>
      <c r="CA11" s="3">
        <f>$BD11*$CJ11</f>
        <v>460447.2841387486</v>
      </c>
      <c r="CB11" s="3">
        <f>$BE11*$CK11</f>
        <v>2494.7823245083373</v>
      </c>
      <c r="CC11" s="21">
        <f>CA11/CB11</f>
        <v>184.5641119128467</v>
      </c>
      <c r="CE11" s="374" t="s">
        <v>60</v>
      </c>
      <c r="CF11" s="14">
        <f>MIN(CN11,CP11,CR11,CT11,CV11,CX11,CZ11,DB11,DD11,DF11,DH11,DJ11,DN11,DP11,DR11,DT11,DV11)</f>
        <v>2.0971114795224688</v>
      </c>
      <c r="CG11" s="14">
        <f t="shared" ref="CG11:CG30" si="53">MIN(CO11,CQ11,CS11,CU11,CW11,CY11,DA11,DC11,DE11,DG11,DI11,DK11,DO11,DQ11,DS11,DU11,DW11)</f>
        <v>2.1089987325728772</v>
      </c>
      <c r="CH11" s="253">
        <f>MAX(CN11,CP11,CR11,CT11,CV11,CX11,CZ11,DB11,DD11,DF11,DJ11,DN11,DP11,DR11,DT11,DV11)</f>
        <v>4.0539303214018769</v>
      </c>
      <c r="CI11" s="253">
        <f t="shared" ref="CI11:CI30" si="54">MAX(CO11,CQ11,CS11,CU11,CW11,CY11,DA11,DC11,DE11,DG11,DK11,DO11,DQ11,DS11,DU11,DW11)</f>
        <v>4.2317073170731705</v>
      </c>
      <c r="CJ11" s="253">
        <f>AVERAGE(CN11,CP11,CR11,CT11,CV11,CX11,CZ11,DB11,DD11,DF11,DJ11,DN11,DP11,DR11,DT11,DV11)</f>
        <v>2.9587164199528901</v>
      </c>
      <c r="CK11" s="253">
        <f t="shared" ref="CK11:CK30" si="55">AVERAGE(CO11,CQ11,CS11,CU11,CW11,CY11,DA11,DC11,DE11,DG11,DK11,DO11,DQ11,DS11,DU11,DW11)</f>
        <v>3.0166654468057281</v>
      </c>
      <c r="CL11" s="253">
        <f t="shared" ref="CL11:CL30" si="56">CH11-CF11</f>
        <v>1.9568188418794081</v>
      </c>
      <c r="CM11" s="253">
        <f t="shared" si="3"/>
        <v>2.1227085845002933</v>
      </c>
      <c r="CN11" s="15">
        <f t="shared" si="4"/>
        <v>3.7189811500835122</v>
      </c>
      <c r="CO11" s="7">
        <f t="shared" si="5"/>
        <v>4.2317073170731705</v>
      </c>
      <c r="CP11" s="10">
        <f t="shared" si="6"/>
        <v>3.4469730624772827</v>
      </c>
      <c r="CQ11" s="11">
        <f t="shared" si="7"/>
        <v>3.6699029126213594</v>
      </c>
      <c r="CR11" s="10">
        <f t="shared" si="8"/>
        <v>2.8995991467216764</v>
      </c>
      <c r="CS11" s="25">
        <f t="shared" si="9"/>
        <v>2.8240343347639487</v>
      </c>
      <c r="CT11" s="10">
        <f t="shared" si="10"/>
        <v>3.6683107777596606</v>
      </c>
      <c r="CU11" s="25">
        <f t="shared" si="11"/>
        <v>3.4275862068965517</v>
      </c>
      <c r="CV11" s="10">
        <f t="shared" si="12"/>
        <v>2.0971114795224688</v>
      </c>
      <c r="CW11" s="25">
        <f t="shared" si="13"/>
        <v>2.1089987325728772</v>
      </c>
      <c r="CX11" s="10">
        <f t="shared" si="14"/>
        <v>4.0539303214018769</v>
      </c>
      <c r="CY11" s="25">
        <f t="shared" si="15"/>
        <v>4.1039603960396036</v>
      </c>
      <c r="CZ11" s="10">
        <f t="shared" si="16"/>
        <v>2.3097497929079713</v>
      </c>
      <c r="DA11" s="25">
        <f t="shared" si="17"/>
        <v>2.3381294964028778</v>
      </c>
      <c r="DB11" s="10">
        <f t="shared" si="18"/>
        <v>3.5511167324777886</v>
      </c>
      <c r="DC11" s="25">
        <f t="shared" si="19"/>
        <v>3.75</v>
      </c>
      <c r="DD11" s="10">
        <f t="shared" si="20"/>
        <v>2.6726005618116364</v>
      </c>
      <c r="DE11" s="25">
        <f t="shared" si="21"/>
        <v>2.7184466019417477</v>
      </c>
      <c r="DF11" s="10">
        <f t="shared" si="22"/>
        <v>3.1704714423161025</v>
      </c>
      <c r="DG11" s="25">
        <f t="shared" si="23"/>
        <v>3.0224719101123596</v>
      </c>
      <c r="DH11" s="10">
        <f t="shared" si="24"/>
        <v>4.4805026697589128</v>
      </c>
      <c r="DI11" s="25">
        <f t="shared" si="25"/>
        <v>4.4375</v>
      </c>
      <c r="DJ11" s="10">
        <f t="shared" si="26"/>
        <v>2.3534666218637992</v>
      </c>
      <c r="DK11" s="25">
        <f t="shared" si="27"/>
        <v>2.3954451345755694</v>
      </c>
      <c r="DL11" s="10"/>
      <c r="DM11" s="25"/>
      <c r="DN11" s="10">
        <f t="shared" si="28"/>
        <v>2.7113760950416865</v>
      </c>
      <c r="DO11" s="25">
        <f t="shared" si="29"/>
        <v>2.8449612403100777</v>
      </c>
      <c r="DP11" s="10">
        <f t="shared" si="30"/>
        <v>2.3993625395597791</v>
      </c>
      <c r="DQ11" s="25">
        <f t="shared" si="31"/>
        <v>2.5056726094003241</v>
      </c>
      <c r="DR11" s="10">
        <f t="shared" ref="DR11:DR30" si="57">AU$30/AU11</f>
        <v>2.6488481066531739</v>
      </c>
      <c r="DS11" s="25">
        <f t="shared" si="32"/>
        <v>2.522598870056497</v>
      </c>
      <c r="DT11" s="10">
        <f t="shared" ref="DT11:DT30" si="58">AX$30/AX11</f>
        <v>3.3176832556765663</v>
      </c>
      <c r="DU11" s="25">
        <f t="shared" ref="DU11:DU30" si="59">AY$30/AY11</f>
        <v>3.4293785310734464</v>
      </c>
      <c r="DV11" s="10">
        <f t="shared" si="33"/>
        <v>2.319881632971259</v>
      </c>
      <c r="DW11" s="25">
        <f t="shared" si="34"/>
        <v>2.3733528550512446</v>
      </c>
      <c r="DX11" s="16"/>
      <c r="DY11" s="18">
        <f t="shared" si="35"/>
        <v>-0.51272616698965834</v>
      </c>
      <c r="DZ11" s="26"/>
      <c r="EA11" s="27">
        <f t="shared" si="36"/>
        <v>-0.22292985014407662</v>
      </c>
      <c r="EB11" s="19"/>
      <c r="EC11" s="17">
        <f t="shared" si="37"/>
        <v>7.5564811957727684E-2</v>
      </c>
      <c r="ED11" s="19"/>
      <c r="EE11" s="17">
        <f t="shared" si="38"/>
        <v>0.24072457086310894</v>
      </c>
      <c r="EF11" s="19"/>
      <c r="EG11" s="17">
        <f t="shared" si="39"/>
        <v>-1.1887253050408386E-2</v>
      </c>
      <c r="EH11" s="19"/>
      <c r="EI11" s="17">
        <f t="shared" si="40"/>
        <v>-5.0030074637726685E-2</v>
      </c>
      <c r="EJ11" s="19"/>
      <c r="EK11" s="17">
        <f t="shared" si="41"/>
        <v>-2.8379703494906483E-2</v>
      </c>
      <c r="EL11" s="19"/>
      <c r="EM11" s="17">
        <f t="shared" si="42"/>
        <v>-0.19888326752221142</v>
      </c>
      <c r="EN11" s="19"/>
      <c r="EO11" s="17">
        <f t="shared" si="43"/>
        <v>-4.5846040130111287E-2</v>
      </c>
      <c r="EP11" s="19"/>
      <c r="EQ11" s="17">
        <f t="shared" si="44"/>
        <v>0.14799953220374285</v>
      </c>
      <c r="ER11" s="19"/>
      <c r="ES11" s="17">
        <f t="shared" si="45"/>
        <v>4.3002669758912759E-2</v>
      </c>
      <c r="ET11" s="19"/>
      <c r="EU11" s="17">
        <f t="shared" si="46"/>
        <v>-4.1978512711770222E-2</v>
      </c>
      <c r="EV11" s="19"/>
      <c r="EW11" s="17">
        <f t="shared" si="47"/>
        <v>0</v>
      </c>
      <c r="EX11" s="19"/>
      <c r="EY11" s="17">
        <f t="shared" si="48"/>
        <v>-0.13358514526839116</v>
      </c>
      <c r="EZ11" s="19"/>
      <c r="FA11" s="17">
        <f t="shared" si="49"/>
        <v>-0.10631006984054503</v>
      </c>
      <c r="FB11" s="19"/>
      <c r="FC11" s="18">
        <f t="shared" si="50"/>
        <v>0.12624923659667697</v>
      </c>
      <c r="FD11" s="19"/>
      <c r="FE11" s="18">
        <f t="shared" ref="FE11:FE30" si="60">DT11-DU11</f>
        <v>-0.11169527539688007</v>
      </c>
      <c r="FF11" s="19"/>
      <c r="FG11" s="18">
        <f t="shared" ref="FG11:FG30" si="61">DV11-DW11</f>
        <v>-5.3471222079985559E-2</v>
      </c>
    </row>
    <row r="12" spans="1:163" ht="15.75" hidden="1" outlineLevel="1" thickBot="1" x14ac:dyDescent="0.3">
      <c r="A12" s="359">
        <v>3</v>
      </c>
      <c r="B12" s="3">
        <v>17674</v>
      </c>
      <c r="C12" s="3">
        <v>90</v>
      </c>
      <c r="D12" s="20">
        <f>IFERROR(Tabelle3[[#This Row],[Ned (€)]]/Tabelle3[[#This Row],[Ned (Backer)]],"")</f>
        <v>196.37777777777777</v>
      </c>
      <c r="E12" s="3">
        <v>53901</v>
      </c>
      <c r="F12" s="3">
        <v>224</v>
      </c>
      <c r="G12" s="20">
        <f>Tabelle3[[#This Row],[Werkzeuge (€)]]/Tabelle3[[#This Row],[Werkzeuge (Backer)]]</f>
        <v>240.62946428571428</v>
      </c>
      <c r="H12" s="3">
        <v>45273</v>
      </c>
      <c r="I12" s="3">
        <v>248</v>
      </c>
      <c r="J12" s="20">
        <f>Tabelle3[[#This Row],[DSK Fasar (€)]]/Tabelle3[[#This Row],[DSK Fasar (Backer)]]</f>
        <v>182.55241935483872</v>
      </c>
      <c r="K12" s="3">
        <v>27671</v>
      </c>
      <c r="L12" s="3">
        <v>162</v>
      </c>
      <c r="M12" s="20">
        <f>Tabelle3[[#This Row],[Mythen (€)]]/Tabelle3[[#This Row],[Mythen (Backer)]]</f>
        <v>170.80864197530863</v>
      </c>
      <c r="N12" s="3">
        <v>122519</v>
      </c>
      <c r="O12" s="3">
        <v>852</v>
      </c>
      <c r="P12" s="20">
        <f>Tabelle3[[#This Row],[SOK (€)]]/Tabelle3[[#This Row],[SOK (Backer)]]</f>
        <v>143.80164319248826</v>
      </c>
      <c r="Q12" s="3">
        <v>115147</v>
      </c>
      <c r="R12" s="3">
        <v>480</v>
      </c>
      <c r="S12" s="358">
        <f>Tabelle3[[#This Row],[RE (€)]]/Tabelle3[[#This Row],[RE (Backer)]]</f>
        <v>239.88958333333332</v>
      </c>
      <c r="T12" s="3">
        <v>110488</v>
      </c>
      <c r="U12" s="3">
        <v>458</v>
      </c>
      <c r="V12" s="358">
        <f>Tabelle3[[#This Row],[DGG (€)]]/Tabelle3[[#This Row],[DGG (Backer)]]</f>
        <v>241.24017467248908</v>
      </c>
      <c r="W12" s="3">
        <v>38191</v>
      </c>
      <c r="X12" s="3">
        <v>199</v>
      </c>
      <c r="Y12" s="358">
        <f>Tabelle3[[#This Row],[DSK SV (€)]]/Tabelle3[[#This Row],[DSK SV (Backer)]]</f>
        <v>191.9145728643216</v>
      </c>
      <c r="Z12" s="3">
        <v>143837</v>
      </c>
      <c r="AA12" s="3">
        <v>731</v>
      </c>
      <c r="AB12" s="20">
        <f>Tabelle3[[#This Row],[WW (€)]]/Tabelle3[[#This Row],[WW (Backer)]]</f>
        <v>196.76744186046511</v>
      </c>
      <c r="AC12" s="3">
        <v>13158</v>
      </c>
      <c r="AD12" s="3">
        <v>101</v>
      </c>
      <c r="AE12" s="20">
        <f>Tabelle3[[#This Row],[DSK R (€)]]/Tabelle3[[#This Row],[DSK R (Backer)]]</f>
        <v>130.27722772277227</v>
      </c>
      <c r="AF12" s="3">
        <v>65490</v>
      </c>
      <c r="AG12" s="3">
        <v>301</v>
      </c>
      <c r="AH12" s="20">
        <f>Tabelle3[[#This Row],[Ära (€)]]/Tabelle3[[#This Row],[Ära (Backer)]]</f>
        <v>217.5747508305648</v>
      </c>
      <c r="AI12" s="3">
        <v>39341</v>
      </c>
      <c r="AJ12" s="3">
        <v>536</v>
      </c>
      <c r="AK12" s="20">
        <f>Tabelle3[[#This Row],[Mosaik (€)]]/Tabelle3[[#This Row],[Mosaik (Backer)]]</f>
        <v>73.397388059701498</v>
      </c>
      <c r="AL12" s="375"/>
      <c r="AM12" s="375"/>
      <c r="AN12" s="395"/>
      <c r="AO12" s="3">
        <v>126235</v>
      </c>
      <c r="AP12" s="3">
        <v>580</v>
      </c>
      <c r="AQ12" s="20">
        <f>Tabelle3[[#This Row],[ES (€)]]/Tabelle3[[#This Row],[ES (Backer)]]</f>
        <v>217.64655172413794</v>
      </c>
      <c r="AR12" s="3">
        <v>158884.32</v>
      </c>
      <c r="AS12" s="3">
        <v>696</v>
      </c>
      <c r="AT12" s="20">
        <f>Tabelle3[[#This Row],[WF (€)]]/Tabelle3[[#This Row],[WF(Backer)]]</f>
        <v>228.28206896551725</v>
      </c>
      <c r="AU12" s="3">
        <v>226553.17</v>
      </c>
      <c r="AV12" s="3">
        <v>1134</v>
      </c>
      <c r="AW12" s="20">
        <f>Tabelle3[[#This Row],[AKM (€)]]/Tabelle3[[#This Row],[AKM(Backer)]]</f>
        <v>199.7823368606702</v>
      </c>
      <c r="AX12" s="3">
        <v>140168</v>
      </c>
      <c r="AY12" s="3">
        <v>481</v>
      </c>
      <c r="AZ12" s="20">
        <f>Tabelle3[[#This Row],[Lex (€)]]/Tabelle3[[#This Row],[Lex(Backer)]]</f>
        <v>291.40956340956342</v>
      </c>
      <c r="BA12" s="3">
        <v>170463</v>
      </c>
      <c r="BB12" s="3">
        <v>755</v>
      </c>
      <c r="BC12" s="20">
        <f>Tabelle3[[#This Row],[KA (€)]]/Tabelle3[[#This Row],[KA (Backer)]]</f>
        <v>225.77880794701986</v>
      </c>
      <c r="BD12" s="656">
        <f>'Übersicht &amp; Anleitung'!AR59</f>
        <v>169724</v>
      </c>
      <c r="BE12" s="656">
        <f>'Übersicht &amp; Anleitung'!AS59</f>
        <v>887</v>
      </c>
      <c r="BF12" s="20">
        <f>Tabelle3[[#This Row],[MAR (€)]]/Tabelle3[[#This Row],[MAR (Backer)]]</f>
        <v>191.34611048478016</v>
      </c>
      <c r="BQ12" s="374" t="s">
        <v>65</v>
      </c>
      <c r="BR12" s="6">
        <f t="shared" ref="BR12:BR30" si="62">$BD12*$CF12</f>
        <v>331190.30312033236</v>
      </c>
      <c r="BS12" s="6">
        <f t="shared" ref="BS12:BS30" si="63">$BE12*$CG12</f>
        <v>1732.3568075117371</v>
      </c>
      <c r="BT12" s="21">
        <f t="shared" ref="BT12" si="64">BR12/BS12</f>
        <v>191.17903522198529</v>
      </c>
      <c r="BU12" s="6">
        <f t="shared" ref="BU12:BU30" si="65">$BD12*$CH12</f>
        <v>598701.07389385533</v>
      </c>
      <c r="BV12" s="6">
        <f t="shared" ref="BV12:BV30" si="66">$BE12*$CI12</f>
        <v>3419.8777777777777</v>
      </c>
      <c r="BW12" s="21">
        <f t="shared" ref="BW12" si="67">BU12/BV12</f>
        <v>175.06504992201468</v>
      </c>
      <c r="BX12" s="3">
        <f t="shared" ref="BX12" si="68">AVERAGE(BR12,BU12)</f>
        <v>464945.68850709382</v>
      </c>
      <c r="BY12" s="3">
        <f t="shared" ref="BY12" si="69">AVERAGE(BS12,BV12)</f>
        <v>2576.1172926447575</v>
      </c>
      <c r="BZ12" s="21">
        <f t="shared" ref="BZ12" si="70">BX12/BY12</f>
        <v>180.48312079368083</v>
      </c>
      <c r="CA12" s="3">
        <f t="shared" ref="CA12:CA30" si="71">$BD12*$CJ12</f>
        <v>444676.91148725391</v>
      </c>
      <c r="CB12" s="3">
        <f t="shared" ref="CB12:CB30" si="72">$BE12*$CK12</f>
        <v>2363.5644543999347</v>
      </c>
      <c r="CC12" s="21">
        <f t="shared" ref="CC12" si="73">CA12/CB12</f>
        <v>188.13826323181408</v>
      </c>
      <c r="CE12" s="374" t="s">
        <v>65</v>
      </c>
      <c r="CF12" s="14">
        <f t="shared" ref="CF12:CF30" si="74">MIN(CN12,CP12,CR12,CT12,CV12,CX12,CZ12,DB12,DD12,DF12,DH12,DJ12,DN12,DP12,DR12,DT12,DV12)</f>
        <v>1.9513463217949869</v>
      </c>
      <c r="CG12" s="14">
        <f t="shared" si="53"/>
        <v>1.9530516431924883</v>
      </c>
      <c r="CH12" s="253">
        <f t="shared" ref="CH12:CH30" si="75">MAX(CN12,CP12,CR12,CT12,CV12,CX12,CZ12,DB12,DD12,DF12,DJ12,DN12,DP12,DR12,DT12,DV12)</f>
        <v>3.5274980196899399</v>
      </c>
      <c r="CI12" s="253">
        <f t="shared" si="54"/>
        <v>3.8555555555555556</v>
      </c>
      <c r="CJ12" s="253">
        <f t="shared" ref="CJ12:CJ30" si="76">AVERAGE(CN12,CP12,CR12,CT12,CV12,CX12,CZ12,DB12,DD12,DF12,DJ12,DN12,DP12,DR12,DT12,DV12)</f>
        <v>2.6200001855203383</v>
      </c>
      <c r="CK12" s="253">
        <f t="shared" si="55"/>
        <v>2.664672440135214</v>
      </c>
      <c r="CL12" s="253">
        <f t="shared" ref="CL12" si="77">CH12-CF12</f>
        <v>1.576151697894953</v>
      </c>
      <c r="CM12" s="253">
        <f t="shared" ref="CM12" si="78">CI12-CG12</f>
        <v>1.9025039123630674</v>
      </c>
      <c r="CN12" s="15">
        <f t="shared" si="4"/>
        <v>3.5274980196899399</v>
      </c>
      <c r="CO12" s="7">
        <f t="shared" si="5"/>
        <v>3.8555555555555556</v>
      </c>
      <c r="CP12" s="10">
        <f t="shared" si="6"/>
        <v>3.166935678373314</v>
      </c>
      <c r="CQ12" s="11">
        <f t="shared" si="7"/>
        <v>3.375</v>
      </c>
      <c r="CR12" s="10">
        <f t="shared" si="8"/>
        <v>2.7321803282309545</v>
      </c>
      <c r="CS12" s="25">
        <f t="shared" si="9"/>
        <v>2.653225806451613</v>
      </c>
      <c r="CT12" s="10">
        <f t="shared" si="10"/>
        <v>3.252177369809548</v>
      </c>
      <c r="CU12" s="25">
        <f t="shared" si="11"/>
        <v>3.0679012345679011</v>
      </c>
      <c r="CV12" s="10">
        <f t="shared" si="12"/>
        <v>1.9513463217949869</v>
      </c>
      <c r="CW12" s="25">
        <f t="shared" si="13"/>
        <v>1.9530516431924883</v>
      </c>
      <c r="CX12" s="10">
        <f t="shared" si="14"/>
        <v>3.3913779777154418</v>
      </c>
      <c r="CY12" s="25">
        <f t="shared" si="15"/>
        <v>3.4541666666666666</v>
      </c>
      <c r="CZ12" s="10">
        <f t="shared" si="16"/>
        <v>2.0946166099485919</v>
      </c>
      <c r="DA12" s="25">
        <f t="shared" si="17"/>
        <v>2.1288209606986901</v>
      </c>
      <c r="DB12" s="10">
        <f t="shared" si="18"/>
        <v>3.014139456940117</v>
      </c>
      <c r="DC12" s="25">
        <f t="shared" si="19"/>
        <v>3.2412060301507539</v>
      </c>
      <c r="DD12" s="10">
        <f t="shared" si="20"/>
        <v>2.2555740178118286</v>
      </c>
      <c r="DE12" s="25">
        <f t="shared" si="21"/>
        <v>2.2982216142270864</v>
      </c>
      <c r="DF12" s="10">
        <f t="shared" si="22"/>
        <v>2.7548259613923087</v>
      </c>
      <c r="DG12" s="25">
        <f t="shared" si="23"/>
        <v>2.6633663366336635</v>
      </c>
      <c r="DH12" s="10">
        <f t="shared" si="24"/>
        <v>3.8054512139257901</v>
      </c>
      <c r="DI12" s="25">
        <f t="shared" si="25"/>
        <v>3.7740863787375414</v>
      </c>
      <c r="DJ12" s="10">
        <f t="shared" si="26"/>
        <v>2.1363717241554614</v>
      </c>
      <c r="DK12" s="25">
        <f t="shared" si="27"/>
        <v>2.158582089552239</v>
      </c>
      <c r="DL12" s="10"/>
      <c r="DM12" s="25"/>
      <c r="DN12" s="10">
        <f t="shared" si="28"/>
        <v>2.4371133203945021</v>
      </c>
      <c r="DO12" s="25">
        <f t="shared" si="29"/>
        <v>2.5310344827586206</v>
      </c>
      <c r="DP12" s="10">
        <f t="shared" si="30"/>
        <v>2.1525509880396001</v>
      </c>
      <c r="DQ12" s="25">
        <f t="shared" si="31"/>
        <v>2.2212643678160919</v>
      </c>
      <c r="DR12" s="10">
        <f t="shared" si="57"/>
        <v>2.474370321103871</v>
      </c>
      <c r="DS12" s="25">
        <f t="shared" si="32"/>
        <v>2.3624338624338623</v>
      </c>
      <c r="DT12" s="10">
        <f t="shared" si="58"/>
        <v>2.484072969579362</v>
      </c>
      <c r="DU12" s="25">
        <f t="shared" si="59"/>
        <v>2.5239085239085237</v>
      </c>
      <c r="DV12" s="10">
        <f t="shared" si="33"/>
        <v>2.0948519033455941</v>
      </c>
      <c r="DW12" s="25">
        <f t="shared" si="34"/>
        <v>2.1470198675496688</v>
      </c>
      <c r="DX12" s="16"/>
      <c r="DY12" s="18">
        <f t="shared" si="35"/>
        <v>-0.3280575358656157</v>
      </c>
      <c r="DZ12" s="26"/>
      <c r="EA12" s="27">
        <f t="shared" si="36"/>
        <v>-0.20806432162668598</v>
      </c>
      <c r="EB12" s="19"/>
      <c r="EC12" s="17">
        <f t="shared" si="37"/>
        <v>7.895452177934148E-2</v>
      </c>
      <c r="ED12" s="19"/>
      <c r="EE12" s="17">
        <f t="shared" si="38"/>
        <v>0.18427613524164688</v>
      </c>
      <c r="EF12" s="19"/>
      <c r="EG12" s="17">
        <f t="shared" si="39"/>
        <v>-1.705321397501347E-3</v>
      </c>
      <c r="EH12" s="19"/>
      <c r="EI12" s="17">
        <f t="shared" si="40"/>
        <v>-6.2788688951224803E-2</v>
      </c>
      <c r="EJ12" s="19"/>
      <c r="EK12" s="17">
        <f t="shared" si="41"/>
        <v>-3.42043507500982E-2</v>
      </c>
      <c r="EL12" s="19"/>
      <c r="EM12" s="17">
        <f t="shared" si="42"/>
        <v>-0.22706657321063695</v>
      </c>
      <c r="EN12" s="19"/>
      <c r="EO12" s="17">
        <f t="shared" si="43"/>
        <v>-4.2647596415257727E-2</v>
      </c>
      <c r="EP12" s="19"/>
      <c r="EQ12" s="17">
        <f t="shared" si="44"/>
        <v>9.1459624758645219E-2</v>
      </c>
      <c r="ER12" s="19"/>
      <c r="ES12" s="17">
        <f t="shared" si="45"/>
        <v>3.136483518824873E-2</v>
      </c>
      <c r="ET12" s="19"/>
      <c r="EU12" s="17">
        <f t="shared" si="46"/>
        <v>-2.2210365396777565E-2</v>
      </c>
      <c r="EV12" s="19"/>
      <c r="EW12" s="17">
        <f t="shared" si="47"/>
        <v>0</v>
      </c>
      <c r="EX12" s="19"/>
      <c r="EY12" s="17">
        <f t="shared" si="48"/>
        <v>-9.3921162364118516E-2</v>
      </c>
      <c r="EZ12" s="19"/>
      <c r="FA12" s="17">
        <f t="shared" si="49"/>
        <v>-6.8713379776491834E-2</v>
      </c>
      <c r="FB12" s="19"/>
      <c r="FC12" s="18">
        <f t="shared" si="50"/>
        <v>0.11193645867000868</v>
      </c>
      <c r="FD12" s="19"/>
      <c r="FE12" s="18">
        <f t="shared" si="60"/>
        <v>-3.9835554329161749E-2</v>
      </c>
      <c r="FF12" s="19"/>
      <c r="FG12" s="18">
        <f t="shared" si="61"/>
        <v>-5.2167964204074657E-2</v>
      </c>
    </row>
    <row r="13" spans="1:163" ht="15.75" hidden="1" outlineLevel="1" thickBot="1" x14ac:dyDescent="0.3">
      <c r="A13" s="359">
        <v>4</v>
      </c>
      <c r="B13" s="3">
        <v>18881</v>
      </c>
      <c r="C13" s="3">
        <v>95</v>
      </c>
      <c r="D13" s="358">
        <f>IFERROR(Tabelle3[[#This Row],[Ned (€)]]/Tabelle3[[#This Row],[Ned (Backer)]],"")</f>
        <v>198.74736842105264</v>
      </c>
      <c r="E13" s="3">
        <v>59963</v>
      </c>
      <c r="F13" s="3">
        <v>247</v>
      </c>
      <c r="G13" s="358">
        <f>Tabelle3[[#This Row],[Werkzeuge (€)]]/Tabelle3[[#This Row],[Werkzeuge (Backer)]]</f>
        <v>242.76518218623482</v>
      </c>
      <c r="H13" s="3">
        <v>47957</v>
      </c>
      <c r="I13" s="3">
        <v>264</v>
      </c>
      <c r="J13" s="20">
        <f>Tabelle3[[#This Row],[DSK Fasar (€)]]/Tabelle3[[#This Row],[DSK Fasar (Backer)]]</f>
        <v>181.65530303030303</v>
      </c>
      <c r="K13" s="3">
        <v>30324</v>
      </c>
      <c r="L13" s="3">
        <v>178</v>
      </c>
      <c r="M13" s="20">
        <f>Tabelle3[[#This Row],[Mythen (€)]]/Tabelle3[[#This Row],[Mythen (Backer)]]</f>
        <v>170.35955056179776</v>
      </c>
      <c r="N13" s="3">
        <v>127604</v>
      </c>
      <c r="O13" s="3">
        <v>891</v>
      </c>
      <c r="P13" s="20">
        <f>Tabelle3[[#This Row],[SOK (€)]]/Tabelle3[[#This Row],[SOK (Backer)]]</f>
        <v>143.21436588103253</v>
      </c>
      <c r="Q13" s="3">
        <v>123834</v>
      </c>
      <c r="R13" s="3">
        <v>520</v>
      </c>
      <c r="S13" s="20">
        <f>Tabelle3[[#This Row],[RE (€)]]/Tabelle3[[#This Row],[RE (Backer)]]</f>
        <v>238.1423076923077</v>
      </c>
      <c r="T13" s="3">
        <v>117325</v>
      </c>
      <c r="U13" s="3">
        <v>486</v>
      </c>
      <c r="V13" s="20">
        <f>Tabelle3[[#This Row],[DGG (€)]]/Tabelle3[[#This Row],[DGG (Backer)]]</f>
        <v>241.40946502057614</v>
      </c>
      <c r="W13" s="3">
        <v>41597</v>
      </c>
      <c r="X13" s="3">
        <v>218</v>
      </c>
      <c r="Y13" s="20">
        <f>Tabelle3[[#This Row],[DSK SV (€)]]/Tabelle3[[#This Row],[DSK SV (Backer)]]</f>
        <v>190.8119266055046</v>
      </c>
      <c r="Z13" s="3">
        <v>156839</v>
      </c>
      <c r="AA13" s="3">
        <v>797</v>
      </c>
      <c r="AB13" s="20">
        <f>Tabelle3[[#This Row],[WW (€)]]/Tabelle3[[#This Row],[WW (Backer)]]</f>
        <v>196.7867001254705</v>
      </c>
      <c r="AC13" s="3">
        <v>14235</v>
      </c>
      <c r="AD13" s="3">
        <v>110</v>
      </c>
      <c r="AE13" s="20">
        <f>Tabelle3[[#This Row],[DSK R (€)]]/Tabelle3[[#This Row],[DSK R (Backer)]]</f>
        <v>129.40909090909091</v>
      </c>
      <c r="AF13" s="3">
        <v>69834</v>
      </c>
      <c r="AG13" s="3">
        <v>323</v>
      </c>
      <c r="AH13" s="20">
        <f>Tabelle3[[#This Row],[Ära (€)]]/Tabelle3[[#This Row],[Ära (Backer)]]</f>
        <v>216.20433436532508</v>
      </c>
      <c r="AI13" s="3">
        <v>43256</v>
      </c>
      <c r="AJ13" s="3">
        <v>585</v>
      </c>
      <c r="AK13" s="20">
        <f>Tabelle3[[#This Row],[Mosaik (€)]]/Tabelle3[[#This Row],[Mosaik (Backer)]]</f>
        <v>73.941880341880335</v>
      </c>
      <c r="AL13" s="375"/>
      <c r="AM13" s="375"/>
      <c r="AN13" s="395"/>
      <c r="AO13" s="3">
        <v>134183</v>
      </c>
      <c r="AP13" s="3">
        <v>622</v>
      </c>
      <c r="AQ13" s="20">
        <f>Tabelle3[[#This Row],[ES (€)]]/Tabelle3[[#This Row],[ES (Backer)]]</f>
        <v>215.72829581993568</v>
      </c>
      <c r="AR13" s="3">
        <v>172623.29</v>
      </c>
      <c r="AS13" s="3">
        <v>759</v>
      </c>
      <c r="AT13" s="20">
        <f>Tabelle3[[#This Row],[WF (€)]]/Tabelle3[[#This Row],[WF(Backer)]]</f>
        <v>227.43516469038209</v>
      </c>
      <c r="AU13" s="3">
        <v>277418.56</v>
      </c>
      <c r="AV13" s="3">
        <v>1388</v>
      </c>
      <c r="AW13" s="20">
        <f>Tabelle3[[#This Row],[AKM (€)]]/Tabelle3[[#This Row],[AKM(Backer)]]</f>
        <v>199.86927953890489</v>
      </c>
      <c r="AX13" s="3">
        <v>153491</v>
      </c>
      <c r="AY13" s="3">
        <v>529</v>
      </c>
      <c r="AZ13" s="20">
        <f>Tabelle3[[#This Row],[Lex (€)]]/Tabelle3[[#This Row],[Lex(Backer)]]</f>
        <v>290.15311909262761</v>
      </c>
      <c r="BA13" s="3">
        <v>183900</v>
      </c>
      <c r="BB13" s="3">
        <v>813</v>
      </c>
      <c r="BC13" s="20">
        <f>Tabelle3[[#This Row],[KA (€)]]/Tabelle3[[#This Row],[KA (Backer)]]</f>
        <v>226.19926199261994</v>
      </c>
      <c r="BD13" s="656">
        <f>'Übersicht &amp; Anleitung'!AR60</f>
        <v>179924</v>
      </c>
      <c r="BE13" s="656">
        <f>'Übersicht &amp; Anleitung'!AS60</f>
        <v>938</v>
      </c>
      <c r="BF13" s="20">
        <f>Tabelle3[[#This Row],[MAR (€)]]/Tabelle3[[#This Row],[MAR (Backer)]]</f>
        <v>191.81663113006397</v>
      </c>
      <c r="BQ13" s="374" t="s">
        <v>72</v>
      </c>
      <c r="BR13" s="6">
        <f t="shared" si="62"/>
        <v>337102.99166170339</v>
      </c>
      <c r="BS13" s="6">
        <f t="shared" si="63"/>
        <v>1751.7755331088663</v>
      </c>
      <c r="BT13" s="21">
        <f t="shared" ref="BT13:BT14" si="79">BR13/BS13</f>
        <v>192.43503821716735</v>
      </c>
      <c r="BU13" s="6">
        <f t="shared" si="65"/>
        <v>594108.45717917487</v>
      </c>
      <c r="BV13" s="6">
        <f t="shared" si="66"/>
        <v>3426.1684210526314</v>
      </c>
      <c r="BW13" s="21">
        <f t="shared" ref="BW13:BW14" si="80">BU13/BV13</f>
        <v>173.40316766933637</v>
      </c>
      <c r="BX13" s="3">
        <f t="shared" ref="BX13:BX14" si="81">AVERAGE(BR13,BU13)</f>
        <v>465605.7244204391</v>
      </c>
      <c r="BY13" s="3">
        <f t="shared" ref="BY13:BY14" si="82">AVERAGE(BS13,BV13)</f>
        <v>2588.9719770807487</v>
      </c>
      <c r="BZ13" s="21">
        <f t="shared" ref="BZ13:BZ14" si="83">BX13/BY13</f>
        <v>179.84193283754385</v>
      </c>
      <c r="CA13" s="3">
        <f t="shared" si="71"/>
        <v>433229.52273655793</v>
      </c>
      <c r="CB13" s="3">
        <f t="shared" si="72"/>
        <v>2296.0980370007842</v>
      </c>
      <c r="CC13" s="21">
        <f t="shared" ref="CC13:CC14" si="84">CA13/CB13</f>
        <v>188.68076003516481</v>
      </c>
      <c r="CE13" s="374" t="s">
        <v>72</v>
      </c>
      <c r="CF13" s="14">
        <f t="shared" si="74"/>
        <v>1.8735854675402026</v>
      </c>
      <c r="CG13" s="14">
        <f t="shared" si="53"/>
        <v>1.8675645342312008</v>
      </c>
      <c r="CH13" s="253">
        <f t="shared" si="75"/>
        <v>3.301996716275621</v>
      </c>
      <c r="CI13" s="253">
        <f t="shared" si="54"/>
        <v>3.6526315789473682</v>
      </c>
      <c r="CJ13" s="253">
        <f t="shared" si="76"/>
        <v>2.4078473285195856</v>
      </c>
      <c r="CK13" s="253">
        <f t="shared" si="55"/>
        <v>2.447865711088256</v>
      </c>
      <c r="CL13" s="253">
        <f t="shared" si="56"/>
        <v>1.4284112487354184</v>
      </c>
      <c r="CM13" s="253">
        <f t="shared" si="3"/>
        <v>1.7850670447161674</v>
      </c>
      <c r="CN13" s="15">
        <f t="shared" si="4"/>
        <v>3.301996716275621</v>
      </c>
      <c r="CO13" s="7">
        <f t="shared" si="5"/>
        <v>3.6526315789473682</v>
      </c>
      <c r="CP13" s="10">
        <f t="shared" si="6"/>
        <v>2.8467721761753082</v>
      </c>
      <c r="CQ13" s="11">
        <f t="shared" si="7"/>
        <v>3.0607287449392713</v>
      </c>
      <c r="CR13" s="10">
        <f t="shared" si="8"/>
        <v>2.5792689284150385</v>
      </c>
      <c r="CS13" s="25">
        <f t="shared" si="9"/>
        <v>2.4924242424242422</v>
      </c>
      <c r="CT13" s="10">
        <f t="shared" si="10"/>
        <v>2.9676493866244558</v>
      </c>
      <c r="CU13" s="25">
        <f t="shared" si="11"/>
        <v>2.792134831460674</v>
      </c>
      <c r="CV13" s="10">
        <f t="shared" si="12"/>
        <v>1.8735854675402026</v>
      </c>
      <c r="CW13" s="25">
        <f t="shared" si="13"/>
        <v>1.8675645342312008</v>
      </c>
      <c r="CX13" s="10">
        <f t="shared" si="14"/>
        <v>3.1534715829255293</v>
      </c>
      <c r="CY13" s="25">
        <f t="shared" si="15"/>
        <v>3.1884615384615387</v>
      </c>
      <c r="CZ13" s="10">
        <f t="shared" si="16"/>
        <v>1.9725548689537609</v>
      </c>
      <c r="DA13" s="25">
        <f t="shared" si="17"/>
        <v>2.0061728395061729</v>
      </c>
      <c r="DB13" s="10">
        <f t="shared" si="18"/>
        <v>2.7673389907926054</v>
      </c>
      <c r="DC13" s="25">
        <f t="shared" si="19"/>
        <v>2.9587155963302751</v>
      </c>
      <c r="DD13" s="10">
        <f t="shared" si="20"/>
        <v>2.0685862572446903</v>
      </c>
      <c r="DE13" s="25">
        <f t="shared" si="21"/>
        <v>2.107904642409034</v>
      </c>
      <c r="DF13" s="10">
        <f t="shared" si="22"/>
        <v>2.5463997190024585</v>
      </c>
      <c r="DG13" s="25">
        <f t="shared" si="23"/>
        <v>2.4454545454545453</v>
      </c>
      <c r="DH13" s="10">
        <f t="shared" si="24"/>
        <v>3.568734427356302</v>
      </c>
      <c r="DI13" s="25">
        <f t="shared" si="25"/>
        <v>3.51702786377709</v>
      </c>
      <c r="DJ13" s="10">
        <f t="shared" si="26"/>
        <v>1.943013685962641</v>
      </c>
      <c r="DK13" s="25">
        <f t="shared" si="27"/>
        <v>1.9777777777777779</v>
      </c>
      <c r="DL13" s="10"/>
      <c r="DM13" s="25"/>
      <c r="DN13" s="10">
        <f t="shared" si="28"/>
        <v>2.292756906612611</v>
      </c>
      <c r="DO13" s="25">
        <f t="shared" si="29"/>
        <v>2.360128617363344</v>
      </c>
      <c r="DP13" s="10">
        <f t="shared" si="30"/>
        <v>1.981230921968872</v>
      </c>
      <c r="DQ13" s="25">
        <f t="shared" si="31"/>
        <v>2.0368906455862978</v>
      </c>
      <c r="DR13" s="10">
        <f t="shared" si="57"/>
        <v>2.0206883057860292</v>
      </c>
      <c r="DS13" s="25">
        <f t="shared" si="32"/>
        <v>1.9301152737752161</v>
      </c>
      <c r="DT13" s="10">
        <f t="shared" si="58"/>
        <v>2.2684557400759653</v>
      </c>
      <c r="DU13" s="25">
        <f t="shared" si="59"/>
        <v>2.2948960302457468</v>
      </c>
      <c r="DV13" s="10">
        <f t="shared" si="33"/>
        <v>1.9417876019575855</v>
      </c>
      <c r="DW13" s="25">
        <f t="shared" si="34"/>
        <v>1.9938499384993851</v>
      </c>
      <c r="DX13" s="16"/>
      <c r="DY13" s="18">
        <f t="shared" si="35"/>
        <v>-0.35063486267174726</v>
      </c>
      <c r="DZ13" s="26"/>
      <c r="EA13" s="27">
        <f t="shared" si="36"/>
        <v>-0.21395656876396307</v>
      </c>
      <c r="EB13" s="19"/>
      <c r="EC13" s="17">
        <f t="shared" si="37"/>
        <v>8.6844685990796311E-2</v>
      </c>
      <c r="ED13" s="19"/>
      <c r="EE13" s="17">
        <f t="shared" si="38"/>
        <v>0.17551455516378178</v>
      </c>
      <c r="EF13" s="19"/>
      <c r="EG13" s="17">
        <f t="shared" si="39"/>
        <v>6.0209333090017747E-3</v>
      </c>
      <c r="EH13" s="19"/>
      <c r="EI13" s="17">
        <f t="shared" si="40"/>
        <v>-3.4989955536009365E-2</v>
      </c>
      <c r="EJ13" s="19"/>
      <c r="EK13" s="17">
        <f t="shared" si="41"/>
        <v>-3.3617970552412002E-2</v>
      </c>
      <c r="EL13" s="19"/>
      <c r="EM13" s="17">
        <f t="shared" si="42"/>
        <v>-0.19137660553766978</v>
      </c>
      <c r="EN13" s="19"/>
      <c r="EO13" s="17">
        <f t="shared" si="43"/>
        <v>-3.9318385164343717E-2</v>
      </c>
      <c r="EP13" s="19"/>
      <c r="EQ13" s="17">
        <f t="shared" si="44"/>
        <v>0.10094517354791321</v>
      </c>
      <c r="ER13" s="19"/>
      <c r="ES13" s="17">
        <f t="shared" si="45"/>
        <v>5.1706563579211995E-2</v>
      </c>
      <c r="ET13" s="19"/>
      <c r="EU13" s="17">
        <f t="shared" si="46"/>
        <v>-3.4764091815136844E-2</v>
      </c>
      <c r="EV13" s="19"/>
      <c r="EW13" s="17">
        <f t="shared" si="47"/>
        <v>0</v>
      </c>
      <c r="EX13" s="19"/>
      <c r="EY13" s="17">
        <f t="shared" si="48"/>
        <v>-6.7371710750733005E-2</v>
      </c>
      <c r="EZ13" s="19"/>
      <c r="FA13" s="17">
        <f t="shared" si="49"/>
        <v>-5.5659723617425882E-2</v>
      </c>
      <c r="FB13" s="19"/>
      <c r="FC13" s="18">
        <f t="shared" si="50"/>
        <v>9.0573032010813126E-2</v>
      </c>
      <c r="FD13" s="19"/>
      <c r="FE13" s="18">
        <f t="shared" si="60"/>
        <v>-2.6440290169781555E-2</v>
      </c>
      <c r="FF13" s="19"/>
      <c r="FG13" s="18">
        <f t="shared" si="61"/>
        <v>-5.2062336541799592E-2</v>
      </c>
    </row>
    <row r="14" spans="1:163" ht="15.75" hidden="1" outlineLevel="1" thickBot="1" x14ac:dyDescent="0.3">
      <c r="A14" s="359">
        <v>5</v>
      </c>
      <c r="B14" s="3">
        <v>21886</v>
      </c>
      <c r="C14" s="3">
        <v>111</v>
      </c>
      <c r="D14" s="20">
        <f>IFERROR(Tabelle3[[#This Row],[Ned (€)]]/Tabelle3[[#This Row],[Ned (Backer)]],"")</f>
        <v>197.17117117117118</v>
      </c>
      <c r="E14" s="3">
        <v>63115</v>
      </c>
      <c r="F14" s="3">
        <v>264</v>
      </c>
      <c r="G14" s="20">
        <f>Tabelle3[[#This Row],[Werkzeuge (€)]]/Tabelle3[[#This Row],[Werkzeuge (Backer)]]</f>
        <v>239.07196969696969</v>
      </c>
      <c r="H14" s="3">
        <v>50763</v>
      </c>
      <c r="I14" s="3">
        <v>280</v>
      </c>
      <c r="J14" s="20">
        <f>Tabelle3[[#This Row],[DSK Fasar (€)]]/Tabelle3[[#This Row],[DSK Fasar (Backer)]]</f>
        <v>181.29642857142858</v>
      </c>
      <c r="K14" s="3">
        <v>32621</v>
      </c>
      <c r="L14" s="3">
        <v>191</v>
      </c>
      <c r="M14" s="20">
        <f>Tabelle3[[#This Row],[Mythen (€)]]/Tabelle3[[#This Row],[Mythen (Backer)]]</f>
        <v>170.79057591623035</v>
      </c>
      <c r="N14" s="3">
        <v>131274</v>
      </c>
      <c r="O14" s="3">
        <v>918</v>
      </c>
      <c r="P14" s="20">
        <f>Tabelle3[[#This Row],[SOK (€)]]/Tabelle3[[#This Row],[SOK (Backer)]]</f>
        <v>143</v>
      </c>
      <c r="Q14" s="3">
        <v>132002</v>
      </c>
      <c r="R14" s="3">
        <v>564</v>
      </c>
      <c r="S14" s="20">
        <f>Tabelle3[[#This Row],[RE (€)]]/Tabelle3[[#This Row],[RE (Backer)]]</f>
        <v>234.04609929078015</v>
      </c>
      <c r="T14" s="3">
        <v>120368</v>
      </c>
      <c r="U14" s="3">
        <v>497</v>
      </c>
      <c r="V14" s="20">
        <f>Tabelle3[[#This Row],[DGG (€)]]/Tabelle3[[#This Row],[DGG (Backer)]]</f>
        <v>242.18913480885311</v>
      </c>
      <c r="W14" s="3">
        <v>44358</v>
      </c>
      <c r="X14" s="3">
        <v>235</v>
      </c>
      <c r="Y14" s="20">
        <f>Tabelle3[[#This Row],[DSK SV (€)]]/Tabelle3[[#This Row],[DSK SV (Backer)]]</f>
        <v>188.75744680851065</v>
      </c>
      <c r="Z14" s="3">
        <v>166947</v>
      </c>
      <c r="AA14" s="3">
        <v>847</v>
      </c>
      <c r="AB14" s="20">
        <f>Tabelle3[[#This Row],[WW (€)]]/Tabelle3[[#This Row],[WW (Backer)]]</f>
        <v>197.10389610389609</v>
      </c>
      <c r="AC14" s="3">
        <v>15015</v>
      </c>
      <c r="AD14" s="3">
        <v>116</v>
      </c>
      <c r="AE14" s="20">
        <f>Tabelle3[[#This Row],[DSK R (€)]]/Tabelle3[[#This Row],[DSK R (Backer)]]</f>
        <v>129.43965517241378</v>
      </c>
      <c r="AF14" s="3">
        <v>75551</v>
      </c>
      <c r="AG14" s="3">
        <v>351</v>
      </c>
      <c r="AH14" s="20">
        <f>Tabelle3[[#This Row],[Ära (€)]]/Tabelle3[[#This Row],[Ära (Backer)]]</f>
        <v>215.24501424501423</v>
      </c>
      <c r="AI14" s="3">
        <v>44966</v>
      </c>
      <c r="AJ14" s="3">
        <v>611</v>
      </c>
      <c r="AK14" s="20">
        <f>Tabelle3[[#This Row],[Mosaik (€)]]/Tabelle3[[#This Row],[Mosaik (Backer)]]</f>
        <v>73.594108019639933</v>
      </c>
      <c r="AL14" s="375"/>
      <c r="AM14" s="375"/>
      <c r="AN14" s="395"/>
      <c r="AO14" s="3">
        <v>141611</v>
      </c>
      <c r="AP14" s="3">
        <v>661</v>
      </c>
      <c r="AQ14" s="20">
        <f>Tabelle3[[#This Row],[ES (€)]]/Tabelle3[[#This Row],[ES (Backer)]]</f>
        <v>214.2375189107413</v>
      </c>
      <c r="AR14" s="3">
        <v>178763.98</v>
      </c>
      <c r="AS14" s="3">
        <v>790</v>
      </c>
      <c r="AT14" s="20">
        <f>Tabelle3[[#This Row],[WF (€)]]/Tabelle3[[#This Row],[WF(Backer)]]</f>
        <v>226.28351898734178</v>
      </c>
      <c r="AU14" s="3">
        <v>300513.95</v>
      </c>
      <c r="AV14" s="3">
        <v>1511</v>
      </c>
      <c r="AW14" s="20">
        <f>Tabelle3[[#This Row],[AKM (€)]]/Tabelle3[[#This Row],[AKM(Backer)]]</f>
        <v>198.88414956982132</v>
      </c>
      <c r="AX14" s="3">
        <v>161100</v>
      </c>
      <c r="AY14" s="3">
        <v>556</v>
      </c>
      <c r="AZ14" s="20">
        <f>Tabelle3[[#This Row],[Lex (€)]]/Tabelle3[[#This Row],[Lex(Backer)]]</f>
        <v>289.74820143884892</v>
      </c>
      <c r="BA14" s="3">
        <v>197894</v>
      </c>
      <c r="BB14" s="3">
        <v>872</v>
      </c>
      <c r="BC14" s="20">
        <f>Tabelle3[[#This Row],[KA (€)]]/Tabelle3[[#This Row],[KA (Backer)]]</f>
        <v>226.94266055045873</v>
      </c>
      <c r="BD14" s="656">
        <f>'Übersicht &amp; Anleitung'!AR61</f>
        <v>186522</v>
      </c>
      <c r="BE14" s="656">
        <f>'Übersicht &amp; Anleitung'!AS61</f>
        <v>971</v>
      </c>
      <c r="BF14" s="20">
        <f>Tabelle3[[#This Row],[MAR (€)]]/Tabelle3[[#This Row],[MAR (Backer)]]</f>
        <v>192.09268795056641</v>
      </c>
      <c r="BP14" s="167"/>
      <c r="BQ14" s="374" t="s">
        <v>73</v>
      </c>
      <c r="BR14" s="6">
        <f t="shared" si="62"/>
        <v>336574.2523486311</v>
      </c>
      <c r="BS14" s="6">
        <f t="shared" si="63"/>
        <v>1721.5810721376572</v>
      </c>
      <c r="BT14" s="21">
        <f t="shared" si="79"/>
        <v>195.50299303111686</v>
      </c>
      <c r="BU14" s="6">
        <f t="shared" si="65"/>
        <v>551795.78077604889</v>
      </c>
      <c r="BV14" s="6">
        <f t="shared" si="66"/>
        <v>3035.4684684684685</v>
      </c>
      <c r="BW14" s="21">
        <f t="shared" si="80"/>
        <v>181.78274177707235</v>
      </c>
      <c r="BX14" s="3">
        <f t="shared" si="81"/>
        <v>444185.01656233997</v>
      </c>
      <c r="BY14" s="3">
        <f t="shared" si="82"/>
        <v>2378.5247703030627</v>
      </c>
      <c r="BZ14" s="21">
        <f t="shared" si="83"/>
        <v>186.74811467519154</v>
      </c>
      <c r="CA14" s="3">
        <f t="shared" si="71"/>
        <v>421882.02203522704</v>
      </c>
      <c r="CB14" s="3">
        <f t="shared" si="72"/>
        <v>2220.5525897601988</v>
      </c>
      <c r="CC14" s="21">
        <f t="shared" si="84"/>
        <v>189.98965571933911</v>
      </c>
      <c r="CE14" s="374" t="s">
        <v>73</v>
      </c>
      <c r="CF14" s="451">
        <f t="shared" si="74"/>
        <v>1.8044748198530527</v>
      </c>
      <c r="CG14" s="452">
        <f t="shared" si="53"/>
        <v>1.772998014559894</v>
      </c>
      <c r="CH14" s="453">
        <f t="shared" si="75"/>
        <v>2.9583415402796929</v>
      </c>
      <c r="CI14" s="453">
        <f t="shared" si="54"/>
        <v>3.1261261261261262</v>
      </c>
      <c r="CJ14" s="453">
        <f t="shared" si="76"/>
        <v>2.2618351831699588</v>
      </c>
      <c r="CK14" s="453">
        <f t="shared" si="55"/>
        <v>2.2868718741093703</v>
      </c>
      <c r="CL14" s="453">
        <f t="shared" si="56"/>
        <v>1.1538667204266402</v>
      </c>
      <c r="CM14" s="454">
        <f t="shared" si="3"/>
        <v>1.3531281115662321</v>
      </c>
      <c r="CN14" s="15">
        <f t="shared" si="4"/>
        <v>2.8486246915836606</v>
      </c>
      <c r="CO14" s="7">
        <f t="shared" si="5"/>
        <v>3.1261261261261262</v>
      </c>
      <c r="CP14" s="10">
        <f t="shared" si="6"/>
        <v>2.7046027093400933</v>
      </c>
      <c r="CQ14" s="11">
        <f t="shared" si="7"/>
        <v>2.8636363636363638</v>
      </c>
      <c r="CR14" s="10">
        <f t="shared" si="8"/>
        <v>2.4366960187538167</v>
      </c>
      <c r="CS14" s="25">
        <f t="shared" si="9"/>
        <v>2.35</v>
      </c>
      <c r="CT14" s="10">
        <f t="shared" si="10"/>
        <v>2.7586830569265199</v>
      </c>
      <c r="CU14" s="25">
        <f t="shared" si="11"/>
        <v>2.6020942408376961</v>
      </c>
      <c r="CV14" s="10">
        <f t="shared" si="12"/>
        <v>1.8212060270883801</v>
      </c>
      <c r="CW14" s="25">
        <f t="shared" si="13"/>
        <v>1.812636165577342</v>
      </c>
      <c r="CX14" s="10">
        <f t="shared" si="14"/>
        <v>2.9583415402796929</v>
      </c>
      <c r="CY14" s="25">
        <f t="shared" si="15"/>
        <v>2.9397163120567376</v>
      </c>
      <c r="CZ14" s="10">
        <f t="shared" si="16"/>
        <v>1.9226870929150606</v>
      </c>
      <c r="DA14" s="25">
        <f t="shared" si="17"/>
        <v>1.9617706237424548</v>
      </c>
      <c r="DB14" s="10">
        <f t="shared" si="18"/>
        <v>2.5950899499526581</v>
      </c>
      <c r="DC14" s="25">
        <f t="shared" si="19"/>
        <v>2.7446808510638299</v>
      </c>
      <c r="DD14" s="10">
        <f t="shared" si="20"/>
        <v>1.9433412999335118</v>
      </c>
      <c r="DE14" s="25">
        <f t="shared" si="21"/>
        <v>1.9834710743801653</v>
      </c>
      <c r="DF14" s="10">
        <f t="shared" si="22"/>
        <v>2.4141192141192143</v>
      </c>
      <c r="DG14" s="25">
        <f t="shared" si="23"/>
        <v>2.3189655172413794</v>
      </c>
      <c r="DH14" s="10">
        <f t="shared" si="24"/>
        <v>3.2986856560469087</v>
      </c>
      <c r="DI14" s="25">
        <f t="shared" si="25"/>
        <v>3.2364672364672367</v>
      </c>
      <c r="DJ14" s="10">
        <f t="shared" si="26"/>
        <v>1.8691233376328782</v>
      </c>
      <c r="DK14" s="25">
        <f t="shared" si="27"/>
        <v>1.8936170212765957</v>
      </c>
      <c r="DL14" s="10"/>
      <c r="DM14" s="25"/>
      <c r="DN14" s="10">
        <f t="shared" si="28"/>
        <v>2.1724936622155058</v>
      </c>
      <c r="DO14" s="25">
        <f t="shared" si="29"/>
        <v>2.2208774583963691</v>
      </c>
      <c r="DP14" s="10">
        <f t="shared" si="30"/>
        <v>1.9131740074258805</v>
      </c>
      <c r="DQ14" s="25">
        <f t="shared" si="31"/>
        <v>1.9569620253164557</v>
      </c>
      <c r="DR14" s="10">
        <f t="shared" si="57"/>
        <v>1.8653924052444151</v>
      </c>
      <c r="DS14" s="25">
        <f t="shared" si="32"/>
        <v>1.772998014559894</v>
      </c>
      <c r="DT14" s="10">
        <f t="shared" si="58"/>
        <v>2.1613130974549968</v>
      </c>
      <c r="DU14" s="25">
        <f t="shared" si="59"/>
        <v>2.1834532374100721</v>
      </c>
      <c r="DV14" s="10">
        <f t="shared" si="33"/>
        <v>1.8044748198530527</v>
      </c>
      <c r="DW14" s="25">
        <f t="shared" si="34"/>
        <v>1.8589449541284404</v>
      </c>
      <c r="DX14" s="16"/>
      <c r="DY14" s="18">
        <f t="shared" si="35"/>
        <v>-0.27750143454246556</v>
      </c>
      <c r="DZ14" s="26"/>
      <c r="EA14" s="27">
        <f t="shared" si="36"/>
        <v>-0.15903365429627048</v>
      </c>
      <c r="EB14" s="19"/>
      <c r="EC14" s="17">
        <f t="shared" si="37"/>
        <v>8.6696018753816606E-2</v>
      </c>
      <c r="ED14" s="19"/>
      <c r="EE14" s="17">
        <f t="shared" si="38"/>
        <v>0.1565888160888238</v>
      </c>
      <c r="EF14" s="19"/>
      <c r="EG14" s="17">
        <f t="shared" si="39"/>
        <v>8.5698615110381127E-3</v>
      </c>
      <c r="EH14" s="19"/>
      <c r="EI14" s="17">
        <f t="shared" si="40"/>
        <v>1.8625228222955315E-2</v>
      </c>
      <c r="EJ14" s="19"/>
      <c r="EK14" s="17">
        <f t="shared" si="41"/>
        <v>-3.9083530827394242E-2</v>
      </c>
      <c r="EL14" s="19"/>
      <c r="EM14" s="17">
        <f t="shared" si="42"/>
        <v>-0.14959090111117179</v>
      </c>
      <c r="EN14" s="19"/>
      <c r="EO14" s="17">
        <f t="shared" si="43"/>
        <v>-4.0129774446653554E-2</v>
      </c>
      <c r="EP14" s="19"/>
      <c r="EQ14" s="17">
        <f t="shared" si="44"/>
        <v>9.5153696877834815E-2</v>
      </c>
      <c r="ER14" s="19"/>
      <c r="ES14" s="17">
        <f t="shared" si="45"/>
        <v>6.2218419579672002E-2</v>
      </c>
      <c r="ET14" s="19"/>
      <c r="EU14" s="17">
        <f t="shared" si="46"/>
        <v>-2.4493683643717512E-2</v>
      </c>
      <c r="EV14" s="19"/>
      <c r="EW14" s="17">
        <f t="shared" si="47"/>
        <v>0</v>
      </c>
      <c r="EX14" s="19"/>
      <c r="EY14" s="17">
        <f t="shared" si="48"/>
        <v>-4.8383796180863303E-2</v>
      </c>
      <c r="EZ14" s="19"/>
      <c r="FA14" s="17">
        <f t="shared" si="49"/>
        <v>-4.3788017890575182E-2</v>
      </c>
      <c r="FB14" s="19"/>
      <c r="FC14" s="18">
        <f t="shared" si="50"/>
        <v>9.2394390684521044E-2</v>
      </c>
      <c r="FD14" s="19"/>
      <c r="FE14" s="18">
        <f t="shared" si="60"/>
        <v>-2.2140139955075355E-2</v>
      </c>
      <c r="FF14" s="19"/>
      <c r="FG14" s="18">
        <f t="shared" si="61"/>
        <v>-5.4470134275387716E-2</v>
      </c>
    </row>
    <row r="15" spans="1:163" ht="15.75" hidden="1" outlineLevel="1" thickBot="1" x14ac:dyDescent="0.3">
      <c r="A15" s="832">
        <v>6</v>
      </c>
      <c r="B15" s="3">
        <v>22571</v>
      </c>
      <c r="C15" s="3">
        <v>114.99999999999999</v>
      </c>
      <c r="D15" s="20">
        <f>IFERROR(Tabelle3[[#This Row],[Ned (€)]]/Tabelle3[[#This Row],[Ned (Backer)]],"")</f>
        <v>196.26956521739132</v>
      </c>
      <c r="E15" s="3">
        <v>65148</v>
      </c>
      <c r="F15" s="3">
        <v>274</v>
      </c>
      <c r="G15" s="20">
        <f>Tabelle3[[#This Row],[Werkzeuge (€)]]/Tabelle3[[#This Row],[Werkzeuge (Backer)]]</f>
        <v>237.76642335766422</v>
      </c>
      <c r="H15" s="3">
        <v>53829</v>
      </c>
      <c r="I15" s="3">
        <v>294</v>
      </c>
      <c r="J15" s="358">
        <f>Tabelle3[[#This Row],[DSK Fasar (€)]]/Tabelle3[[#This Row],[DSK Fasar (Backer)]]</f>
        <v>183.09183673469389</v>
      </c>
      <c r="K15" s="3">
        <v>37481</v>
      </c>
      <c r="L15" s="3">
        <v>220</v>
      </c>
      <c r="M15" s="20">
        <f>Tabelle3[[#This Row],[Mythen (€)]]/Tabelle3[[#This Row],[Mythen (Backer)]]</f>
        <v>170.36818181818182</v>
      </c>
      <c r="N15" s="3">
        <v>135593</v>
      </c>
      <c r="O15" s="3">
        <v>953</v>
      </c>
      <c r="P15" s="20">
        <f>Tabelle3[[#This Row],[SOK (€)]]/Tabelle3[[#This Row],[SOK (Backer)]]</f>
        <v>142.28016789087093</v>
      </c>
      <c r="Q15" s="3">
        <v>150957</v>
      </c>
      <c r="R15" s="3">
        <v>652</v>
      </c>
      <c r="S15" s="20">
        <f>Tabelle3[[#This Row],[RE (€)]]/Tabelle3[[#This Row],[RE (Backer)]]</f>
        <v>231.52914110429447</v>
      </c>
      <c r="T15" s="3">
        <v>123198</v>
      </c>
      <c r="U15" s="3">
        <v>508</v>
      </c>
      <c r="V15" s="20">
        <f>Tabelle3[[#This Row],[DGG (€)]]/Tabelle3[[#This Row],[DGG (Backer)]]</f>
        <v>242.51574803149606</v>
      </c>
      <c r="W15" s="3">
        <v>45558</v>
      </c>
      <c r="X15" s="3">
        <v>241</v>
      </c>
      <c r="Y15" s="20">
        <f>Tabelle3[[#This Row],[DSK SV (€)]]/Tabelle3[[#This Row],[DSK SV (Backer)]]</f>
        <v>189.03734439834025</v>
      </c>
      <c r="Z15" s="3">
        <v>175946</v>
      </c>
      <c r="AA15" s="3">
        <v>901</v>
      </c>
      <c r="AB15" s="20">
        <f>Tabelle3[[#This Row],[WW (€)]]/Tabelle3[[#This Row],[WW (Backer)]]</f>
        <v>195.2785793562708</v>
      </c>
      <c r="AC15" s="3">
        <v>16237</v>
      </c>
      <c r="AD15" s="3">
        <v>123</v>
      </c>
      <c r="AE15" s="358">
        <f>Tabelle3[[#This Row],[DSK R (€)]]/Tabelle3[[#This Row],[DSK R (Backer)]]</f>
        <v>132.00813008130081</v>
      </c>
      <c r="AF15" s="3">
        <v>85403</v>
      </c>
      <c r="AG15" s="3">
        <v>395</v>
      </c>
      <c r="AH15" s="358">
        <f>Tabelle3[[#This Row],[Ära (€)]]/Tabelle3[[#This Row],[Ära (Backer)]]</f>
        <v>216.21012658227849</v>
      </c>
      <c r="AI15" s="3">
        <v>46520</v>
      </c>
      <c r="AJ15" s="3">
        <v>633</v>
      </c>
      <c r="AK15" s="20">
        <f>Tabelle3[[#This Row],[Mosaik (€)]]/Tabelle3[[#This Row],[Mosaik (Backer)]]</f>
        <v>73.491311216429693</v>
      </c>
      <c r="AL15" s="375"/>
      <c r="AM15" s="375"/>
      <c r="AN15" s="395"/>
      <c r="AO15" s="3">
        <v>150726</v>
      </c>
      <c r="AP15" s="3">
        <v>706</v>
      </c>
      <c r="AQ15" s="20">
        <f>Tabelle3[[#This Row],[ES (€)]]/Tabelle3[[#This Row],[ES (Backer)]]</f>
        <v>213.4929178470255</v>
      </c>
      <c r="AR15" s="3">
        <v>184821.71</v>
      </c>
      <c r="AS15" s="3">
        <v>821</v>
      </c>
      <c r="AT15" s="20">
        <f>Tabelle3[[#This Row],[WF (€)]]/Tabelle3[[#This Row],[WF(Backer)]]</f>
        <v>225.11779537149818</v>
      </c>
      <c r="AU15" s="3">
        <v>317794.57</v>
      </c>
      <c r="AV15" s="3">
        <v>1598</v>
      </c>
      <c r="AW15" s="20">
        <f>Tabelle3[[#This Row],[AKM (€)]]/Tabelle3[[#This Row],[AKM(Backer)]]</f>
        <v>198.87019399249061</v>
      </c>
      <c r="AX15" s="3">
        <v>170645</v>
      </c>
      <c r="AY15" s="3">
        <v>591</v>
      </c>
      <c r="AZ15" s="20">
        <f>Tabelle3[[#This Row],[Lex (€)]]/Tabelle3[[#This Row],[Lex(Backer)]]</f>
        <v>288.7394247038917</v>
      </c>
      <c r="BA15" s="3">
        <v>207444</v>
      </c>
      <c r="BB15" s="3">
        <v>917</v>
      </c>
      <c r="BC15" s="20">
        <f>Tabelle3[[#This Row],[KA (€)]]/Tabelle3[[#This Row],[KA (Backer)]]</f>
        <v>226.22028353326064</v>
      </c>
      <c r="BD15" s="831">
        <f>'Übersicht &amp; Anleitung'!AR62</f>
        <v>194535</v>
      </c>
      <c r="BE15" s="831">
        <f>'Übersicht &amp; Anleitung'!AS62</f>
        <v>1014</v>
      </c>
      <c r="BF15" s="20">
        <f>Tabelle3[[#This Row],[MAR (€)]]/Tabelle3[[#This Row],[MAR (Backer)]]</f>
        <v>191.8491124260355</v>
      </c>
      <c r="BQ15" s="834" t="s">
        <v>74</v>
      </c>
      <c r="BR15" s="6">
        <f t="shared" si="62"/>
        <v>334873.14767310693</v>
      </c>
      <c r="BS15" s="6">
        <f t="shared" si="63"/>
        <v>1699.9411764705883</v>
      </c>
      <c r="BT15" s="21">
        <f t="shared" ref="BT15" si="85">BR15/BS15</f>
        <v>196.99102081189028</v>
      </c>
      <c r="BU15" s="6">
        <f t="shared" si="65"/>
        <v>537339.26609366003</v>
      </c>
      <c r="BV15" s="6">
        <f t="shared" si="66"/>
        <v>3059.6347826086958</v>
      </c>
      <c r="BW15" s="21">
        <f t="shared" ref="BW15" si="86">BU15/BV15</f>
        <v>175.62202820675074</v>
      </c>
      <c r="BX15" s="3">
        <f t="shared" ref="BX15" si="87">AVERAGE(BR15,BU15)</f>
        <v>436106.20688338345</v>
      </c>
      <c r="BY15" s="3">
        <f t="shared" ref="BY15" si="88">AVERAGE(BS15,BV15)</f>
        <v>2379.787979539642</v>
      </c>
      <c r="BZ15" s="21">
        <f t="shared" ref="BZ15" si="89">BX15/BY15</f>
        <v>183.25422711301619</v>
      </c>
      <c r="CA15" s="3">
        <f t="shared" si="71"/>
        <v>415052.75102793303</v>
      </c>
      <c r="CB15" s="3">
        <f t="shared" si="72"/>
        <v>2186.3404484287707</v>
      </c>
      <c r="CC15" s="21">
        <f t="shared" ref="CC15" si="90">CA15/CB15</f>
        <v>189.8390304795457</v>
      </c>
      <c r="CE15" s="834" t="s">
        <v>74</v>
      </c>
      <c r="CF15" s="14">
        <f t="shared" si="74"/>
        <v>1.7214030774570486</v>
      </c>
      <c r="CG15" s="14">
        <f t="shared" si="53"/>
        <v>1.6764705882352942</v>
      </c>
      <c r="CH15" s="253">
        <f t="shared" si="75"/>
        <v>2.7621726994816358</v>
      </c>
      <c r="CI15" s="253">
        <f t="shared" si="54"/>
        <v>3.0173913043478264</v>
      </c>
      <c r="CJ15" s="253">
        <f t="shared" si="76"/>
        <v>2.1335633743436042</v>
      </c>
      <c r="CK15" s="253">
        <f t="shared" si="55"/>
        <v>2.1561542883912925</v>
      </c>
      <c r="CL15" s="253">
        <f t="shared" si="56"/>
        <v>1.0407696220245872</v>
      </c>
      <c r="CM15" s="253">
        <f t="shared" si="3"/>
        <v>1.3409207161125323</v>
      </c>
      <c r="CN15" s="15">
        <f t="shared" si="4"/>
        <v>2.7621726994816358</v>
      </c>
      <c r="CO15" s="7">
        <f t="shared" si="5"/>
        <v>3.0173913043478264</v>
      </c>
      <c r="CP15" s="10">
        <f t="shared" si="6"/>
        <v>2.6202032295695954</v>
      </c>
      <c r="CQ15" s="11">
        <f t="shared" si="7"/>
        <v>2.7591240875912408</v>
      </c>
      <c r="CR15" s="10">
        <f t="shared" si="8"/>
        <v>2.2979063330175182</v>
      </c>
      <c r="CS15" s="25">
        <f t="shared" si="9"/>
        <v>2.2380952380952381</v>
      </c>
      <c r="CT15" s="10">
        <f t="shared" si="10"/>
        <v>2.4009764947573435</v>
      </c>
      <c r="CU15" s="25">
        <f t="shared" si="11"/>
        <v>2.2590909090909093</v>
      </c>
      <c r="CV15" s="10">
        <f t="shared" si="12"/>
        <v>1.7631957401930778</v>
      </c>
      <c r="CW15" s="25">
        <f t="shared" si="13"/>
        <v>1.746065057712487</v>
      </c>
      <c r="CX15" s="10">
        <f t="shared" si="14"/>
        <v>2.5868757328245793</v>
      </c>
      <c r="CY15" s="25">
        <f t="shared" si="15"/>
        <v>2.5429447852760738</v>
      </c>
      <c r="CZ15" s="10">
        <f t="shared" si="16"/>
        <v>1.8785207552070651</v>
      </c>
      <c r="DA15" s="25">
        <f t="shared" si="17"/>
        <v>1.9192913385826771</v>
      </c>
      <c r="DB15" s="10">
        <f t="shared" si="18"/>
        <v>2.5267351507967866</v>
      </c>
      <c r="DC15" s="25">
        <f t="shared" si="19"/>
        <v>2.6763485477178421</v>
      </c>
      <c r="DD15" s="10">
        <f t="shared" si="20"/>
        <v>1.8439464381116935</v>
      </c>
      <c r="DE15" s="25">
        <f t="shared" si="21"/>
        <v>1.8645948945615982</v>
      </c>
      <c r="DF15" s="10">
        <f t="shared" si="22"/>
        <v>2.2324320995257745</v>
      </c>
      <c r="DG15" s="25">
        <f t="shared" si="23"/>
        <v>2.1869918699186992</v>
      </c>
      <c r="DH15" s="10">
        <f t="shared" si="24"/>
        <v>2.9181527580998328</v>
      </c>
      <c r="DI15" s="25">
        <f t="shared" si="25"/>
        <v>2.8759493670886074</v>
      </c>
      <c r="DJ15" s="10">
        <f t="shared" si="26"/>
        <v>1.8066852966466036</v>
      </c>
      <c r="DK15" s="25">
        <f t="shared" si="27"/>
        <v>1.8278041074249605</v>
      </c>
      <c r="DL15" s="10"/>
      <c r="DM15" s="25"/>
      <c r="DN15" s="10">
        <f t="shared" si="28"/>
        <v>2.0411143399280816</v>
      </c>
      <c r="DO15" s="25">
        <f t="shared" si="29"/>
        <v>2.0793201133144477</v>
      </c>
      <c r="DP15" s="10">
        <f t="shared" si="30"/>
        <v>1.8504676750366609</v>
      </c>
      <c r="DQ15" s="25">
        <f t="shared" si="31"/>
        <v>1.8830694275274056</v>
      </c>
      <c r="DR15" s="10">
        <f t="shared" si="57"/>
        <v>1.7639585220099889</v>
      </c>
      <c r="DS15" s="25">
        <f t="shared" si="32"/>
        <v>1.6764705882352942</v>
      </c>
      <c r="DT15" s="10">
        <f t="shared" si="58"/>
        <v>2.0404204049342201</v>
      </c>
      <c r="DU15" s="25">
        <f t="shared" si="59"/>
        <v>2.05414551607445</v>
      </c>
      <c r="DV15" s="10">
        <f t="shared" si="33"/>
        <v>1.7214030774570486</v>
      </c>
      <c r="DW15" s="25">
        <f t="shared" si="34"/>
        <v>1.7677208287895312</v>
      </c>
      <c r="DX15" s="16"/>
      <c r="DY15" s="18">
        <f t="shared" si="35"/>
        <v>-0.25521860486619063</v>
      </c>
      <c r="DZ15" s="26"/>
      <c r="EA15" s="27">
        <f t="shared" si="36"/>
        <v>-0.13892085802164544</v>
      </c>
      <c r="EB15" s="19"/>
      <c r="EC15" s="17">
        <f t="shared" si="37"/>
        <v>5.9811094922280095E-2</v>
      </c>
      <c r="ED15" s="19"/>
      <c r="EE15" s="17">
        <f t="shared" si="38"/>
        <v>0.14188558566643428</v>
      </c>
      <c r="EF15" s="19"/>
      <c r="EG15" s="17">
        <f t="shared" si="39"/>
        <v>1.7130682480590798E-2</v>
      </c>
      <c r="EH15" s="19"/>
      <c r="EI15" s="17">
        <f t="shared" si="40"/>
        <v>4.3930947548505461E-2</v>
      </c>
      <c r="EJ15" s="19"/>
      <c r="EK15" s="17">
        <f t="shared" si="41"/>
        <v>-4.0770583375612013E-2</v>
      </c>
      <c r="EL15" s="19"/>
      <c r="EM15" s="17">
        <f t="shared" si="42"/>
        <v>-0.14961339692105557</v>
      </c>
      <c r="EN15" s="19"/>
      <c r="EO15" s="17">
        <f t="shared" si="43"/>
        <v>-2.0648456449904762E-2</v>
      </c>
      <c r="EP15" s="19"/>
      <c r="EQ15" s="17">
        <f t="shared" si="44"/>
        <v>4.5440229607075278E-2</v>
      </c>
      <c r="ER15" s="19"/>
      <c r="ES15" s="17">
        <f t="shared" si="45"/>
        <v>4.2203391011225388E-2</v>
      </c>
      <c r="ET15" s="19"/>
      <c r="EU15" s="17">
        <f t="shared" si="46"/>
        <v>-2.1118810778356867E-2</v>
      </c>
      <c r="EV15" s="19"/>
      <c r="EW15" s="17">
        <f t="shared" si="47"/>
        <v>0</v>
      </c>
      <c r="EX15" s="19"/>
      <c r="EY15" s="17">
        <f t="shared" si="48"/>
        <v>-3.8205773386366104E-2</v>
      </c>
      <c r="EZ15" s="19"/>
      <c r="FA15" s="17">
        <f t="shared" si="49"/>
        <v>-3.2601752490744706E-2</v>
      </c>
      <c r="FB15" s="19"/>
      <c r="FC15" s="18">
        <f t="shared" si="50"/>
        <v>8.7487933774694771E-2</v>
      </c>
      <c r="FD15" s="19"/>
      <c r="FE15" s="18">
        <f t="shared" si="60"/>
        <v>-1.3725111140229895E-2</v>
      </c>
      <c r="FF15" s="19"/>
      <c r="FG15" s="18">
        <f t="shared" si="61"/>
        <v>-4.6317751332482615E-2</v>
      </c>
    </row>
    <row r="16" spans="1:163" ht="15.75" hidden="1" outlineLevel="1" thickBot="1" x14ac:dyDescent="0.3">
      <c r="A16" s="832">
        <v>7</v>
      </c>
      <c r="B16" s="3">
        <v>24180</v>
      </c>
      <c r="C16" s="3">
        <v>124</v>
      </c>
      <c r="D16" s="20">
        <f>IFERROR(Tabelle3[[#This Row],[Ned (€)]]/Tabelle3[[#This Row],[Ned (Backer)]],"")</f>
        <v>195</v>
      </c>
      <c r="E16" s="3">
        <v>69623</v>
      </c>
      <c r="F16" s="3">
        <v>295</v>
      </c>
      <c r="G16" s="20">
        <f>Tabelle3[[#This Row],[Werkzeuge (€)]]/Tabelle3[[#This Row],[Werkzeuge (Backer)]]</f>
        <v>236.01016949152543</v>
      </c>
      <c r="H16" s="3">
        <v>55981</v>
      </c>
      <c r="I16" s="3">
        <v>308</v>
      </c>
      <c r="J16" s="20">
        <f>Tabelle3[[#This Row],[DSK Fasar (€)]]/Tabelle3[[#This Row],[DSK Fasar (Backer)]]</f>
        <v>181.75649350649351</v>
      </c>
      <c r="K16" s="3">
        <v>40223</v>
      </c>
      <c r="L16" s="3">
        <v>236</v>
      </c>
      <c r="M16" s="20">
        <f>Tabelle3[[#This Row],[Mythen (€)]]/Tabelle3[[#This Row],[Mythen (Backer)]]</f>
        <v>170.43644067796609</v>
      </c>
      <c r="N16" s="3">
        <v>147297</v>
      </c>
      <c r="O16" s="3">
        <v>1044</v>
      </c>
      <c r="P16" s="20">
        <f>Tabelle3[[#This Row],[SOK (€)]]/Tabelle3[[#This Row],[SOK (Backer)]]</f>
        <v>141.08908045977012</v>
      </c>
      <c r="Q16" s="3">
        <v>164491</v>
      </c>
      <c r="R16" s="3">
        <v>709</v>
      </c>
      <c r="S16" s="20">
        <f>Tabelle3[[#This Row],[RE (€)]]/Tabelle3[[#This Row],[RE (Backer)]]</f>
        <v>232.00423131170663</v>
      </c>
      <c r="T16" s="3">
        <v>126713</v>
      </c>
      <c r="U16" s="3">
        <v>523</v>
      </c>
      <c r="V16" s="20">
        <f>Tabelle3[[#This Row],[DGG (€)]]/Tabelle3[[#This Row],[DGG (Backer)]]</f>
        <v>242.28107074569789</v>
      </c>
      <c r="W16" s="3">
        <v>50019</v>
      </c>
      <c r="X16" s="3">
        <v>262</v>
      </c>
      <c r="Y16" s="358">
        <f>Tabelle3[[#This Row],[DSK SV (€)]]/Tabelle3[[#This Row],[DSK SV (Backer)]]</f>
        <v>190.91221374045801</v>
      </c>
      <c r="Z16" s="3">
        <v>184883</v>
      </c>
      <c r="AA16" s="3">
        <v>953</v>
      </c>
      <c r="AB16" s="20">
        <f>Tabelle3[[#This Row],[WW (€)]]/Tabelle3[[#This Row],[WW (Backer)]]</f>
        <v>194.00104931794334</v>
      </c>
      <c r="AC16" s="3">
        <v>16727</v>
      </c>
      <c r="AD16" s="3">
        <v>127</v>
      </c>
      <c r="AE16" s="20">
        <f>Tabelle3[[#This Row],[DSK R (€)]]/Tabelle3[[#This Row],[DSK R (Backer)]]</f>
        <v>131.70866141732284</v>
      </c>
      <c r="AF16" s="3">
        <v>94449</v>
      </c>
      <c r="AG16" s="3">
        <v>435</v>
      </c>
      <c r="AH16" s="20">
        <f>Tabelle3[[#This Row],[Ära (€)]]/Tabelle3[[#This Row],[Ära (Backer)]]</f>
        <v>217.12413793103448</v>
      </c>
      <c r="AI16" s="3">
        <v>48572</v>
      </c>
      <c r="AJ16" s="3">
        <v>661</v>
      </c>
      <c r="AK16" s="20">
        <f>Tabelle3[[#This Row],[Mosaik (€)]]/Tabelle3[[#This Row],[Mosaik (Backer)]]</f>
        <v>73.48260211800303</v>
      </c>
      <c r="AL16" s="3">
        <v>31356</v>
      </c>
      <c r="AM16" s="3">
        <v>220</v>
      </c>
      <c r="AN16" s="20">
        <f>Tabelle3[[#This Row],[DSK ES (€)]]/Tabelle3[[#This Row],[DSK ES (Backer)]]</f>
        <v>142.52727272727273</v>
      </c>
      <c r="AO16" s="3">
        <v>157770</v>
      </c>
      <c r="AP16" s="3">
        <v>746</v>
      </c>
      <c r="AQ16" s="20">
        <f>Tabelle3[[#This Row],[ES (€)]]/Tabelle3[[#This Row],[ES (Backer)]]</f>
        <v>211.48793565683647</v>
      </c>
      <c r="AR16" s="3">
        <v>192894.71</v>
      </c>
      <c r="AS16" s="3">
        <v>855</v>
      </c>
      <c r="AT16" s="20">
        <f>Tabelle3[[#This Row],[WF (€)]]/Tabelle3[[#This Row],[WF(Backer)]]</f>
        <v>225.60784795321638</v>
      </c>
      <c r="AU16" s="3">
        <v>329589.40000000002</v>
      </c>
      <c r="AV16" s="3">
        <v>1658</v>
      </c>
      <c r="AW16" s="20">
        <f>Tabelle3[[#This Row],[AKM (€)]]/Tabelle3[[#This Row],[AKM(Backer)]]</f>
        <v>198.7873341375151</v>
      </c>
      <c r="AX16" s="3">
        <v>177285</v>
      </c>
      <c r="AY16" s="3">
        <v>614</v>
      </c>
      <c r="AZ16" s="20">
        <f>Tabelle3[[#This Row],[Lex (€)]]/Tabelle3[[#This Row],[Lex(Backer)]]</f>
        <v>288.73778501628664</v>
      </c>
      <c r="BA16" s="3">
        <v>215459</v>
      </c>
      <c r="BB16" s="3">
        <v>955</v>
      </c>
      <c r="BC16" s="20">
        <f>Tabelle3[[#This Row],[KA (€)]]/Tabelle3[[#This Row],[KA (Backer)]]</f>
        <v>225.61151832460732</v>
      </c>
      <c r="BD16" s="831">
        <f>'Übersicht &amp; Anleitung'!AR63</f>
        <v>199150</v>
      </c>
      <c r="BE16" s="831">
        <f>'Übersicht &amp; Anleitung'!AS63</f>
        <v>1040</v>
      </c>
      <c r="BF16" s="20">
        <f>Tabelle3[[#This Row],[MAR (€)]]/Tabelle3[[#This Row],[MAR (Backer)]]</f>
        <v>191.49038461538461</v>
      </c>
      <c r="BQ16" s="834" t="s">
        <v>75</v>
      </c>
      <c r="BR16" s="6">
        <f t="shared" si="62"/>
        <v>323239.33651058748</v>
      </c>
      <c r="BS16" s="6">
        <f t="shared" si="63"/>
        <v>1657.6245210727968</v>
      </c>
      <c r="BT16" s="21">
        <f t="shared" ref="BT16" si="91">BR16/BS16</f>
        <v>195.00154130284611</v>
      </c>
      <c r="BU16" s="6">
        <f t="shared" si="65"/>
        <v>513482.4958643507</v>
      </c>
      <c r="BV16" s="6">
        <f t="shared" si="66"/>
        <v>2910.3225806451615</v>
      </c>
      <c r="BW16" s="21">
        <f t="shared" ref="BW16" si="92">BU16/BV16</f>
        <v>176.43490769003404</v>
      </c>
      <c r="BX16" s="3">
        <f t="shared" ref="BX16" si="93">AVERAGE(BR16,BU16)</f>
        <v>418360.91618746909</v>
      </c>
      <c r="BY16" s="3">
        <f t="shared" ref="BY16" si="94">AVERAGE(BS16,BV16)</f>
        <v>2283.9735508589793</v>
      </c>
      <c r="BZ16" s="21">
        <f t="shared" ref="BZ16" si="95">BX16/BY16</f>
        <v>183.17239971107713</v>
      </c>
      <c r="CA16" s="3">
        <f t="shared" si="71"/>
        <v>402026.22303856449</v>
      </c>
      <c r="CB16" s="3">
        <f t="shared" si="72"/>
        <v>2116.373186726883</v>
      </c>
      <c r="CC16" s="21">
        <f t="shared" ref="CC16" si="96">CA16/CB16</f>
        <v>189.95998700036725</v>
      </c>
      <c r="CE16" s="834" t="s">
        <v>75</v>
      </c>
      <c r="CF16" s="14">
        <f t="shared" si="74"/>
        <v>1.6230948356042554</v>
      </c>
      <c r="CG16" s="14">
        <f t="shared" si="53"/>
        <v>1.5938697318007662</v>
      </c>
      <c r="CH16" s="253">
        <f t="shared" si="75"/>
        <v>2.5783705541770057</v>
      </c>
      <c r="CI16" s="253">
        <f t="shared" si="54"/>
        <v>2.7983870967741935</v>
      </c>
      <c r="CJ16" s="253">
        <f t="shared" si="76"/>
        <v>2.0187106353932438</v>
      </c>
      <c r="CK16" s="253">
        <f t="shared" si="55"/>
        <v>2.0349742180066182</v>
      </c>
      <c r="CL16" s="253">
        <f t="shared" si="56"/>
        <v>0.95527571857275029</v>
      </c>
      <c r="CM16" s="253">
        <f t="shared" si="3"/>
        <v>1.2045173649734273</v>
      </c>
      <c r="CN16" s="15">
        <f t="shared" si="4"/>
        <v>2.5783705541770057</v>
      </c>
      <c r="CO16" s="7">
        <f t="shared" si="5"/>
        <v>2.7983870967741935</v>
      </c>
      <c r="CP16" s="10">
        <f t="shared" si="6"/>
        <v>2.4517903566350201</v>
      </c>
      <c r="CQ16" s="11">
        <f t="shared" si="7"/>
        <v>2.5627118644067797</v>
      </c>
      <c r="CR16" s="10">
        <f t="shared" si="8"/>
        <v>2.2095711044818778</v>
      </c>
      <c r="CS16" s="25">
        <f t="shared" si="9"/>
        <v>2.1363636363636362</v>
      </c>
      <c r="CT16" s="10">
        <f t="shared" si="10"/>
        <v>2.2373020411207518</v>
      </c>
      <c r="CU16" s="25">
        <f t="shared" si="11"/>
        <v>2.1059322033898304</v>
      </c>
      <c r="CV16" s="10">
        <f t="shared" si="12"/>
        <v>1.6230948356042554</v>
      </c>
      <c r="CW16" s="25">
        <f t="shared" si="13"/>
        <v>1.5938697318007662</v>
      </c>
      <c r="CX16" s="10">
        <f t="shared" si="14"/>
        <v>2.3740326218455721</v>
      </c>
      <c r="CY16" s="25">
        <f t="shared" si="15"/>
        <v>2.3385049365303243</v>
      </c>
      <c r="CZ16" s="10">
        <f t="shared" si="16"/>
        <v>1.8264108654991991</v>
      </c>
      <c r="DA16" s="25">
        <f t="shared" si="17"/>
        <v>1.8642447418738051</v>
      </c>
      <c r="DB16" s="10">
        <f t="shared" si="18"/>
        <v>2.3013854735200625</v>
      </c>
      <c r="DC16" s="25">
        <f t="shared" si="19"/>
        <v>2.4618320610687023</v>
      </c>
      <c r="DD16" s="10">
        <f t="shared" si="20"/>
        <v>1.7548125030424646</v>
      </c>
      <c r="DE16" s="25">
        <f t="shared" si="21"/>
        <v>1.7628541448058761</v>
      </c>
      <c r="DF16" s="10">
        <f t="shared" si="22"/>
        <v>2.167035332097806</v>
      </c>
      <c r="DG16" s="25">
        <f t="shared" si="23"/>
        <v>2.1181102362204722</v>
      </c>
      <c r="DH16" s="10">
        <f t="shared" si="24"/>
        <v>2.638662135120541</v>
      </c>
      <c r="DI16" s="25">
        <f t="shared" si="25"/>
        <v>2.6114942528735634</v>
      </c>
      <c r="DJ16" s="10">
        <f t="shared" si="26"/>
        <v>1.7303590545993577</v>
      </c>
      <c r="DK16" s="25">
        <f t="shared" si="27"/>
        <v>1.7503782148260212</v>
      </c>
      <c r="DL16" s="10">
        <f t="shared" ref="DL16:DL30" si="97">AL$30/AL16</f>
        <v>1.997289195050389</v>
      </c>
      <c r="DM16" s="25">
        <f t="shared" ref="DM16:DM30" si="98">AM$30/AM16</f>
        <v>1.9318181818181819</v>
      </c>
      <c r="DN16" s="10">
        <f t="shared" si="28"/>
        <v>1.9499841541484439</v>
      </c>
      <c r="DO16" s="25">
        <f t="shared" si="29"/>
        <v>1.967828418230563</v>
      </c>
      <c r="DP16" s="10">
        <f t="shared" si="30"/>
        <v>1.7730221839676163</v>
      </c>
      <c r="DQ16" s="25">
        <f t="shared" si="31"/>
        <v>1.8081871345029239</v>
      </c>
      <c r="DR16" s="10">
        <f t="shared" si="57"/>
        <v>1.7008327330915372</v>
      </c>
      <c r="DS16" s="25">
        <f t="shared" si="32"/>
        <v>1.6158021712907118</v>
      </c>
      <c r="DT16" s="10">
        <f t="shared" si="58"/>
        <v>1.9639988718729728</v>
      </c>
      <c r="DU16" s="25">
        <f t="shared" si="59"/>
        <v>1.9771986970684039</v>
      </c>
      <c r="DV16" s="10">
        <f t="shared" si="33"/>
        <v>1.6573674805879541</v>
      </c>
      <c r="DW16" s="25">
        <f t="shared" si="34"/>
        <v>1.6973821989528797</v>
      </c>
      <c r="DX16" s="16"/>
      <c r="DY16" s="18">
        <f t="shared" si="35"/>
        <v>-0.22001654259718784</v>
      </c>
      <c r="DZ16" s="26"/>
      <c r="EA16" s="27">
        <f t="shared" si="36"/>
        <v>-0.11092150777175958</v>
      </c>
      <c r="EB16" s="19"/>
      <c r="EC16" s="17">
        <f t="shared" si="37"/>
        <v>7.3207468118241525E-2</v>
      </c>
      <c r="ED16" s="19"/>
      <c r="EE16" s="17">
        <f t="shared" si="38"/>
        <v>0.13136983773092137</v>
      </c>
      <c r="EF16" s="19"/>
      <c r="EG16" s="17">
        <f t="shared" si="39"/>
        <v>2.9225103803489194E-2</v>
      </c>
      <c r="EH16" s="19"/>
      <c r="EI16" s="17">
        <f t="shared" si="40"/>
        <v>3.5527685315247748E-2</v>
      </c>
      <c r="EJ16" s="19"/>
      <c r="EK16" s="17">
        <f t="shared" si="41"/>
        <v>-3.7833876374606001E-2</v>
      </c>
      <c r="EL16" s="19"/>
      <c r="EM16" s="17">
        <f t="shared" si="42"/>
        <v>-0.16044658754863983</v>
      </c>
      <c r="EN16" s="19"/>
      <c r="EO16" s="17">
        <f t="shared" si="43"/>
        <v>-8.041641763411489E-3</v>
      </c>
      <c r="EP16" s="19"/>
      <c r="EQ16" s="17">
        <f t="shared" si="44"/>
        <v>4.8925095877333735E-2</v>
      </c>
      <c r="ER16" s="19"/>
      <c r="ES16" s="17">
        <f t="shared" si="45"/>
        <v>2.7167882246977637E-2</v>
      </c>
      <c r="ET16" s="19"/>
      <c r="EU16" s="17">
        <f t="shared" si="46"/>
        <v>-2.0019160226663502E-2</v>
      </c>
      <c r="EV16" s="19"/>
      <c r="EW16" s="17">
        <f t="shared" si="47"/>
        <v>6.5471013232207165E-2</v>
      </c>
      <c r="EX16" s="19"/>
      <c r="EY16" s="17">
        <f t="shared" si="48"/>
        <v>-1.7844264082119032E-2</v>
      </c>
      <c r="EZ16" s="19"/>
      <c r="FA16" s="17">
        <f t="shared" si="49"/>
        <v>-3.5164950535307549E-2</v>
      </c>
      <c r="FB16" s="19"/>
      <c r="FC16" s="18">
        <f t="shared" si="50"/>
        <v>8.5030561800825355E-2</v>
      </c>
      <c r="FD16" s="19"/>
      <c r="FE16" s="18">
        <f t="shared" si="60"/>
        <v>-1.3199825195431059E-2</v>
      </c>
      <c r="FF16" s="19"/>
      <c r="FG16" s="18">
        <f t="shared" si="61"/>
        <v>-4.0014718364925539E-2</v>
      </c>
    </row>
    <row r="17" spans="1:163" ht="15.75" hidden="1" outlineLevel="1" thickBot="1" x14ac:dyDescent="0.3">
      <c r="A17" s="832">
        <v>8</v>
      </c>
      <c r="B17" s="3">
        <v>26679</v>
      </c>
      <c r="C17" s="3">
        <v>136</v>
      </c>
      <c r="D17" s="358">
        <f>IFERROR(Tabelle3[[#This Row],[Ned (€)]]/Tabelle3[[#This Row],[Ned (Backer)]],"")</f>
        <v>196.16911764705881</v>
      </c>
      <c r="E17" s="3">
        <v>72783</v>
      </c>
      <c r="F17" s="3">
        <v>308</v>
      </c>
      <c r="G17" s="20">
        <f>Tabelle3[[#This Row],[Werkzeuge (€)]]/Tabelle3[[#This Row],[Werkzeuge (Backer)]]</f>
        <v>236.30844155844156</v>
      </c>
      <c r="H17" s="3">
        <v>58795</v>
      </c>
      <c r="I17" s="3">
        <v>325</v>
      </c>
      <c r="J17" s="20">
        <f>Tabelle3[[#This Row],[DSK Fasar (€)]]/Tabelle3[[#This Row],[DSK Fasar (Backer)]]</f>
        <v>180.90769230769232</v>
      </c>
      <c r="K17" s="3">
        <v>43766</v>
      </c>
      <c r="L17" s="3">
        <v>253</v>
      </c>
      <c r="M17" s="358">
        <f>Tabelle3[[#This Row],[Mythen (€)]]/Tabelle3[[#This Row],[Mythen (Backer)]]</f>
        <v>172.98814229249012</v>
      </c>
      <c r="N17" s="3">
        <v>154154</v>
      </c>
      <c r="O17" s="3">
        <v>1084</v>
      </c>
      <c r="P17" s="358">
        <f>Tabelle3[[#This Row],[SOK (€)]]/Tabelle3[[#This Row],[SOK (Backer)]]</f>
        <v>142.20848708487085</v>
      </c>
      <c r="Q17" s="3">
        <v>182858</v>
      </c>
      <c r="R17" s="3">
        <v>792</v>
      </c>
      <c r="S17" s="20">
        <f>Tabelle3[[#This Row],[RE (€)]]/Tabelle3[[#This Row],[RE (Backer)]]</f>
        <v>230.88131313131314</v>
      </c>
      <c r="T17" s="3">
        <v>130050</v>
      </c>
      <c r="U17" s="3">
        <v>539</v>
      </c>
      <c r="V17" s="20">
        <f>Tabelle3[[#This Row],[DGG (€)]]/Tabelle3[[#This Row],[DGG (Backer)]]</f>
        <v>241.28014842300556</v>
      </c>
      <c r="W17" s="3">
        <v>54482</v>
      </c>
      <c r="X17" s="3">
        <v>287</v>
      </c>
      <c r="Y17" s="20">
        <f>Tabelle3[[#This Row],[DSK SV (€)]]/Tabelle3[[#This Row],[DSK SV (Backer)]]</f>
        <v>189.83275261324042</v>
      </c>
      <c r="Z17" s="3">
        <v>193287</v>
      </c>
      <c r="AA17" s="3">
        <v>994</v>
      </c>
      <c r="AB17" s="20">
        <f>Tabelle3[[#This Row],[WW (€)]]/Tabelle3[[#This Row],[WW (Backer)]]</f>
        <v>194.45372233400403</v>
      </c>
      <c r="AC17" s="3">
        <v>17672</v>
      </c>
      <c r="AD17" s="3">
        <v>134</v>
      </c>
      <c r="AE17" s="20">
        <f>Tabelle3[[#This Row],[DSK R (€)]]/Tabelle3[[#This Row],[DSK R (Backer)]]</f>
        <v>131.88059701492537</v>
      </c>
      <c r="AF17" s="3">
        <v>103073</v>
      </c>
      <c r="AG17" s="3">
        <v>476</v>
      </c>
      <c r="AH17" s="20">
        <f>Tabelle3[[#This Row],[Ära (€)]]/Tabelle3[[#This Row],[Ära (Backer)]]</f>
        <v>216.53991596638656</v>
      </c>
      <c r="AI17" s="3">
        <v>50335</v>
      </c>
      <c r="AJ17" s="3">
        <v>687</v>
      </c>
      <c r="AK17" s="20">
        <f>Tabelle3[[#This Row],[Mosaik (€)]]/Tabelle3[[#This Row],[Mosaik (Backer)]]</f>
        <v>73.267831149927218</v>
      </c>
      <c r="AL17" s="3">
        <v>33362</v>
      </c>
      <c r="AM17" s="3">
        <v>234</v>
      </c>
      <c r="AN17" s="20">
        <f>Tabelle3[[#This Row],[DSK ES (€)]]/Tabelle3[[#This Row],[DSK ES (Backer)]]</f>
        <v>142.57264957264957</v>
      </c>
      <c r="AO17" s="3">
        <v>165131</v>
      </c>
      <c r="AP17" s="3">
        <v>781</v>
      </c>
      <c r="AQ17" s="20">
        <f>Tabelle3[[#This Row],[ES (€)]]/Tabelle3[[#This Row],[ES (Backer)]]</f>
        <v>211.43533930857873</v>
      </c>
      <c r="AR17" s="3">
        <v>201017.49</v>
      </c>
      <c r="AS17" s="3">
        <v>882</v>
      </c>
      <c r="AT17" s="20">
        <f>Tabelle3[[#This Row],[WF (€)]]/Tabelle3[[#This Row],[WF(Backer)]]</f>
        <v>227.91098639455782</v>
      </c>
      <c r="AU17" s="3">
        <v>341743.05</v>
      </c>
      <c r="AV17" s="3">
        <v>1720</v>
      </c>
      <c r="AW17" s="20">
        <f>Tabelle3[[#This Row],[AKM (€)]]/Tabelle3[[#This Row],[AKM(Backer)]]</f>
        <v>198.68781976744185</v>
      </c>
      <c r="AX17" s="3">
        <v>188552</v>
      </c>
      <c r="AY17" s="3">
        <v>652</v>
      </c>
      <c r="AZ17" s="20">
        <f>Tabelle3[[#This Row],[Lex (€)]]/Tabelle3[[#This Row],[Lex(Backer)]]</f>
        <v>289.19018404907973</v>
      </c>
      <c r="BA17" s="3">
        <v>226250</v>
      </c>
      <c r="BB17" s="3">
        <v>1005</v>
      </c>
      <c r="BC17" s="20">
        <f>Tabelle3[[#This Row],[KA (€)]]/Tabelle3[[#This Row],[KA (Backer)]]</f>
        <v>225.12437810945275</v>
      </c>
      <c r="BD17" s="831">
        <f>'Übersicht &amp; Anleitung'!AR64</f>
        <v>205474</v>
      </c>
      <c r="BE17" s="831">
        <f>'Übersicht &amp; Anleitung'!AS64</f>
        <v>1073</v>
      </c>
      <c r="BF17" s="20">
        <f>Tabelle3[[#This Row],[MAR (€)]]/Tabelle3[[#This Row],[MAR (Backer)]]</f>
        <v>191.49487418452935</v>
      </c>
      <c r="BQ17" s="834" t="s">
        <v>147</v>
      </c>
      <c r="BR17" s="6">
        <f t="shared" si="62"/>
        <v>318669.04198399</v>
      </c>
      <c r="BS17" s="6">
        <f t="shared" si="63"/>
        <v>1647.1143911439115</v>
      </c>
      <c r="BT17" s="21">
        <f t="shared" ref="BT17" si="99">BR17/BS17</f>
        <v>193.47110540554272</v>
      </c>
      <c r="BU17" s="6">
        <f t="shared" si="65"/>
        <v>481906.72648832836</v>
      </c>
      <c r="BV17" s="6">
        <f t="shared" si="66"/>
        <v>2737.7279411764703</v>
      </c>
      <c r="BW17" s="21">
        <f t="shared" ref="BW17" si="100">BU17/BV17</f>
        <v>176.02432997094701</v>
      </c>
      <c r="BX17" s="3">
        <f t="shared" ref="BX17" si="101">AVERAGE(BR17,BU17)</f>
        <v>400287.88423615915</v>
      </c>
      <c r="BY17" s="3">
        <f t="shared" ref="BY17" si="102">AVERAGE(BS17,BV17)</f>
        <v>2192.4211661601908</v>
      </c>
      <c r="BZ17" s="21">
        <f t="shared" ref="BZ17" si="103">BX17/BY17</f>
        <v>182.5780057292659</v>
      </c>
      <c r="CA17" s="3">
        <f t="shared" si="71"/>
        <v>391045.86302721919</v>
      </c>
      <c r="CB17" s="3">
        <f t="shared" si="72"/>
        <v>2060.5965897161414</v>
      </c>
      <c r="CC17" s="21">
        <f t="shared" ref="CC17" si="104">CA17/CB17</f>
        <v>189.77312928635291</v>
      </c>
      <c r="CE17" s="834" t="s">
        <v>147</v>
      </c>
      <c r="CF17" s="14">
        <f t="shared" si="74"/>
        <v>1.5508971547932586</v>
      </c>
      <c r="CG17" s="14">
        <f t="shared" si="53"/>
        <v>1.5350553505535056</v>
      </c>
      <c r="CH17" s="253">
        <f t="shared" si="75"/>
        <v>2.3453416319744997</v>
      </c>
      <c r="CI17" s="253">
        <f t="shared" si="54"/>
        <v>2.5514705882352939</v>
      </c>
      <c r="CJ17" s="253">
        <f t="shared" si="76"/>
        <v>1.9031403633901087</v>
      </c>
      <c r="CK17" s="253">
        <f t="shared" si="55"/>
        <v>1.920406886967513</v>
      </c>
      <c r="CL17" s="253">
        <f t="shared" si="56"/>
        <v>0.79444447718124112</v>
      </c>
      <c r="CM17" s="253">
        <f t="shared" si="3"/>
        <v>1.0164152376817883</v>
      </c>
      <c r="CN17" s="15">
        <f t="shared" si="4"/>
        <v>2.3368567037745045</v>
      </c>
      <c r="CO17" s="7">
        <f t="shared" si="5"/>
        <v>2.5514705882352939</v>
      </c>
      <c r="CP17" s="10">
        <f t="shared" si="6"/>
        <v>2.3453416319744997</v>
      </c>
      <c r="CQ17" s="11">
        <f t="shared" si="7"/>
        <v>2.4545454545454546</v>
      </c>
      <c r="CR17" s="10">
        <f t="shared" si="8"/>
        <v>2.1038183519006717</v>
      </c>
      <c r="CS17" s="25">
        <f t="shared" si="9"/>
        <v>2.0246153846153847</v>
      </c>
      <c r="CT17" s="10">
        <f t="shared" si="10"/>
        <v>2.0561851665676554</v>
      </c>
      <c r="CU17" s="25">
        <f t="shared" si="11"/>
        <v>1.9644268774703557</v>
      </c>
      <c r="CV17" s="10">
        <f t="shared" si="12"/>
        <v>1.5508971547932586</v>
      </c>
      <c r="CW17" s="25">
        <f t="shared" si="13"/>
        <v>1.5350553505535056</v>
      </c>
      <c r="CX17" s="10">
        <f t="shared" si="14"/>
        <v>2.1355751457415044</v>
      </c>
      <c r="CY17" s="25">
        <f t="shared" si="15"/>
        <v>2.0934343434343434</v>
      </c>
      <c r="CZ17" s="10">
        <f t="shared" si="16"/>
        <v>1.7795463283352557</v>
      </c>
      <c r="DA17" s="25">
        <f t="shared" si="17"/>
        <v>1.8089053803339519</v>
      </c>
      <c r="DB17" s="10">
        <f t="shared" si="18"/>
        <v>2.1128629639146874</v>
      </c>
      <c r="DC17" s="25">
        <f t="shared" si="19"/>
        <v>2.2473867595818815</v>
      </c>
      <c r="DD17" s="10">
        <f t="shared" si="20"/>
        <v>1.678514333607537</v>
      </c>
      <c r="DE17" s="25">
        <f t="shared" si="21"/>
        <v>1.6901408450704225</v>
      </c>
      <c r="DF17" s="10">
        <f t="shared" si="22"/>
        <v>2.0511543684925306</v>
      </c>
      <c r="DG17" s="25">
        <f t="shared" si="23"/>
        <v>2.0074626865671643</v>
      </c>
      <c r="DH17" s="10">
        <f t="shared" si="24"/>
        <v>2.4178882927633811</v>
      </c>
      <c r="DI17" s="25">
        <f t="shared" si="25"/>
        <v>2.3865546218487395</v>
      </c>
      <c r="DJ17" s="10">
        <f t="shared" si="26"/>
        <v>1.6697526571967816</v>
      </c>
      <c r="DK17" s="25">
        <f t="shared" si="27"/>
        <v>1.6841339155749635</v>
      </c>
      <c r="DL17" s="10">
        <f t="shared" si="97"/>
        <v>1.8771956117738744</v>
      </c>
      <c r="DM17" s="25">
        <f t="shared" si="98"/>
        <v>1.8162393162393162</v>
      </c>
      <c r="DN17" s="10">
        <f t="shared" si="28"/>
        <v>1.8630602370239386</v>
      </c>
      <c r="DO17" s="25">
        <f t="shared" si="29"/>
        <v>1.8796414852752881</v>
      </c>
      <c r="DP17" s="10">
        <f t="shared" si="30"/>
        <v>1.7013773279131084</v>
      </c>
      <c r="DQ17" s="25">
        <f t="shared" si="31"/>
        <v>1.7528344671201814</v>
      </c>
      <c r="DR17" s="10">
        <f t="shared" si="57"/>
        <v>1.640344814620224</v>
      </c>
      <c r="DS17" s="25">
        <f t="shared" si="32"/>
        <v>1.5575581395348836</v>
      </c>
      <c r="DT17" s="10">
        <f t="shared" si="58"/>
        <v>1.8466393355679069</v>
      </c>
      <c r="DU17" s="25">
        <f t="shared" si="59"/>
        <v>1.861963190184049</v>
      </c>
      <c r="DV17" s="10">
        <f t="shared" si="33"/>
        <v>1.5783192928176795</v>
      </c>
      <c r="DW17" s="25">
        <f t="shared" si="34"/>
        <v>1.6129353233830845</v>
      </c>
      <c r="DX17" s="16"/>
      <c r="DY17" s="18">
        <f t="shared" si="35"/>
        <v>-0.21461388446078944</v>
      </c>
      <c r="DZ17" s="26"/>
      <c r="EA17" s="27">
        <f t="shared" si="36"/>
        <v>-0.10920382257095484</v>
      </c>
      <c r="EB17" s="19"/>
      <c r="EC17" s="17">
        <f t="shared" si="37"/>
        <v>7.9202967285286974E-2</v>
      </c>
      <c r="ED17" s="19"/>
      <c r="EE17" s="17">
        <f t="shared" si="38"/>
        <v>9.1758289097299661E-2</v>
      </c>
      <c r="EF17" s="19"/>
      <c r="EG17" s="17">
        <f t="shared" si="39"/>
        <v>1.584180423975301E-2</v>
      </c>
      <c r="EH17" s="19"/>
      <c r="EI17" s="17">
        <f t="shared" si="40"/>
        <v>4.2140802307160996E-2</v>
      </c>
      <c r="EJ17" s="19"/>
      <c r="EK17" s="17">
        <f t="shared" si="41"/>
        <v>-2.9359051998696151E-2</v>
      </c>
      <c r="EL17" s="19"/>
      <c r="EM17" s="17">
        <f t="shared" si="42"/>
        <v>-0.13452379566719408</v>
      </c>
      <c r="EN17" s="19"/>
      <c r="EO17" s="17">
        <f t="shared" si="43"/>
        <v>-1.1626511462885514E-2</v>
      </c>
      <c r="EP17" s="19"/>
      <c r="EQ17" s="17">
        <f t="shared" si="44"/>
        <v>4.3691681925366321E-2</v>
      </c>
      <c r="ER17" s="19"/>
      <c r="ES17" s="17">
        <f t="shared" si="45"/>
        <v>3.1333670914641676E-2</v>
      </c>
      <c r="ET17" s="19"/>
      <c r="EU17" s="17">
        <f t="shared" si="46"/>
        <v>-1.4381258378181938E-2</v>
      </c>
      <c r="EV17" s="19"/>
      <c r="EW17" s="17">
        <f t="shared" si="47"/>
        <v>6.0956295534558169E-2</v>
      </c>
      <c r="EX17" s="19"/>
      <c r="EY17" s="17">
        <f t="shared" si="48"/>
        <v>-1.6581248251349434E-2</v>
      </c>
      <c r="EZ17" s="19"/>
      <c r="FA17" s="17">
        <f t="shared" si="49"/>
        <v>-5.1457139207073066E-2</v>
      </c>
      <c r="FB17" s="19"/>
      <c r="FC17" s="18">
        <f t="shared" si="50"/>
        <v>8.2786675085340322E-2</v>
      </c>
      <c r="FD17" s="19"/>
      <c r="FE17" s="18">
        <f t="shared" si="60"/>
        <v>-1.5323854616142052E-2</v>
      </c>
      <c r="FF17" s="19"/>
      <c r="FG17" s="18">
        <f t="shared" si="61"/>
        <v>-3.4616030565405076E-2</v>
      </c>
    </row>
    <row r="18" spans="1:163" ht="15.75" hidden="1" outlineLevel="1" thickBot="1" x14ac:dyDescent="0.3">
      <c r="A18" s="832">
        <v>9</v>
      </c>
      <c r="B18" s="3">
        <v>27868</v>
      </c>
      <c r="C18" s="3">
        <v>142</v>
      </c>
      <c r="D18" s="20">
        <f>IFERROR(Tabelle3[[#This Row],[Ned (€)]]/Tabelle3[[#This Row],[Ned (Backer)]],"")</f>
        <v>196.25352112676057</v>
      </c>
      <c r="E18" s="3">
        <v>76597</v>
      </c>
      <c r="F18" s="3">
        <v>329</v>
      </c>
      <c r="G18" s="20">
        <f>Tabelle3[[#This Row],[Werkzeuge (€)]]/Tabelle3[[#This Row],[Werkzeuge (Backer)]]</f>
        <v>232.81762917933131</v>
      </c>
      <c r="H18" s="3">
        <v>63300</v>
      </c>
      <c r="I18" s="3">
        <v>350</v>
      </c>
      <c r="J18" s="20">
        <f>Tabelle3[[#This Row],[DSK Fasar (€)]]/Tabelle3[[#This Row],[DSK Fasar (Backer)]]</f>
        <v>180.85714285714286</v>
      </c>
      <c r="K18" s="3">
        <v>45971</v>
      </c>
      <c r="L18" s="3">
        <v>267</v>
      </c>
      <c r="M18" s="20">
        <f>Tabelle3[[#This Row],[Mythen (€)]]/Tabelle3[[#This Row],[Mythen (Backer)]]</f>
        <v>172.17602996254681</v>
      </c>
      <c r="N18" s="3">
        <v>158642</v>
      </c>
      <c r="O18" s="3">
        <v>1112</v>
      </c>
      <c r="P18" s="20">
        <f>Tabelle3[[#This Row],[SOK (€)]]/Tabelle3[[#This Row],[SOK (Backer)]]</f>
        <v>142.66366906474821</v>
      </c>
      <c r="Q18" s="3">
        <v>195000</v>
      </c>
      <c r="R18" s="3">
        <v>851</v>
      </c>
      <c r="S18" s="20">
        <f>Tabelle3[[#This Row],[RE (€)]]/Tabelle3[[#This Row],[RE (Backer)]]</f>
        <v>229.14218566392481</v>
      </c>
      <c r="T18" s="3">
        <v>133215</v>
      </c>
      <c r="U18" s="3">
        <v>551</v>
      </c>
      <c r="V18" s="358">
        <f>Tabelle3[[#This Row],[DGG (€)]]/Tabelle3[[#This Row],[DGG (Backer)]]</f>
        <v>241.76950998185117</v>
      </c>
      <c r="W18" s="3">
        <v>60464</v>
      </c>
      <c r="X18" s="3">
        <v>324</v>
      </c>
      <c r="Y18" s="20">
        <f>Tabelle3[[#This Row],[DSK SV (€)]]/Tabelle3[[#This Row],[DSK SV (Backer)]]</f>
        <v>186.61728395061729</v>
      </c>
      <c r="Z18" s="3">
        <v>202015</v>
      </c>
      <c r="AA18" s="3">
        <v>1040</v>
      </c>
      <c r="AB18" s="20">
        <f>Tabelle3[[#This Row],[WW (€)]]/Tabelle3[[#This Row],[WW (Backer)]]</f>
        <v>194.24519230769232</v>
      </c>
      <c r="AC18" s="3">
        <v>17982</v>
      </c>
      <c r="AD18" s="3">
        <v>138</v>
      </c>
      <c r="AE18" s="20">
        <f>Tabelle3[[#This Row],[DSK R (€)]]/Tabelle3[[#This Row],[DSK R (Backer)]]</f>
        <v>130.30434782608697</v>
      </c>
      <c r="AF18" s="3">
        <v>113149</v>
      </c>
      <c r="AG18" s="3">
        <v>524</v>
      </c>
      <c r="AH18" s="20">
        <f>Tabelle3[[#This Row],[Ära (€)]]/Tabelle3[[#This Row],[Ära (Backer)]]</f>
        <v>215.93320610687022</v>
      </c>
      <c r="AI18" s="3">
        <v>51635</v>
      </c>
      <c r="AJ18" s="3">
        <v>705</v>
      </c>
      <c r="AK18" s="20">
        <f>Tabelle3[[#This Row],[Mosaik (€)]]/Tabelle3[[#This Row],[Mosaik (Backer)]]</f>
        <v>73.241134751773046</v>
      </c>
      <c r="AL18" s="3">
        <v>35984</v>
      </c>
      <c r="AM18" s="3">
        <v>240</v>
      </c>
      <c r="AN18" s="20">
        <f>Tabelle3[[#This Row],[DSK ES (€)]]/Tabelle3[[#This Row],[DSK ES (Backer)]]</f>
        <v>149.93333333333334</v>
      </c>
      <c r="AO18" s="3">
        <v>173440</v>
      </c>
      <c r="AP18" s="3">
        <v>821</v>
      </c>
      <c r="AQ18" s="358">
        <f>Tabelle3[[#This Row],[ES (€)]]/Tabelle3[[#This Row],[ES (Backer)]]</f>
        <v>211.25456760048721</v>
      </c>
      <c r="AR18" s="3">
        <v>206116.1</v>
      </c>
      <c r="AS18" s="3">
        <v>905</v>
      </c>
      <c r="AT18" s="20">
        <f>Tabelle3[[#This Row],[WF (€)]]/Tabelle3[[#This Row],[WF(Backer)]]</f>
        <v>227.75259668508289</v>
      </c>
      <c r="AU18" s="3">
        <v>350397.33</v>
      </c>
      <c r="AV18" s="3">
        <v>1765</v>
      </c>
      <c r="AW18" s="20">
        <f>Tabelle3[[#This Row],[AKM (€)]]/Tabelle3[[#This Row],[AKM(Backer)]]</f>
        <v>198.52539943342776</v>
      </c>
      <c r="AX18" s="3">
        <v>199225</v>
      </c>
      <c r="AY18" s="3">
        <v>686</v>
      </c>
      <c r="AZ18" s="20">
        <f>Tabelle3[[#This Row],[Lex (€)]]/Tabelle3[[#This Row],[Lex(Backer)]]</f>
        <v>290.41545189504376</v>
      </c>
      <c r="BA18" s="3">
        <v>232733</v>
      </c>
      <c r="BB18" s="3">
        <v>1033</v>
      </c>
      <c r="BC18" s="20">
        <f>Tabelle3[[#This Row],[KA (€)]]/Tabelle3[[#This Row],[KA (Backer)]]</f>
        <v>225.29816069699902</v>
      </c>
      <c r="BD18" s="831">
        <f>'Übersicht &amp; Anleitung'!AR65</f>
        <v>215990</v>
      </c>
      <c r="BE18" s="831">
        <f>'Übersicht &amp; Anleitung'!AS65</f>
        <v>1138</v>
      </c>
      <c r="BF18" s="20">
        <f>Tabelle3[[#This Row],[MAR (€)]]/Tabelle3[[#This Row],[MAR (Backer)]]</f>
        <v>189.79789103690686</v>
      </c>
      <c r="BQ18" s="834" t="s">
        <v>148</v>
      </c>
      <c r="BR18" s="6">
        <f t="shared" si="62"/>
        <v>325501.70339506562</v>
      </c>
      <c r="BS18" s="6">
        <f t="shared" si="63"/>
        <v>1702.906474820144</v>
      </c>
      <c r="BT18" s="21">
        <f t="shared" ref="BT18" si="105">BR18/BS18</f>
        <v>191.14479168883551</v>
      </c>
      <c r="BU18" s="6">
        <f t="shared" si="65"/>
        <v>483202.8329984211</v>
      </c>
      <c r="BV18" s="6">
        <f t="shared" si="66"/>
        <v>2780.8873239436621</v>
      </c>
      <c r="BW18" s="21">
        <f t="shared" ref="BW18" si="106">BU18/BV18</f>
        <v>173.7585082423175</v>
      </c>
      <c r="BX18" s="3">
        <f t="shared" ref="BX18" si="107">AVERAGE(BR18,BU18)</f>
        <v>404352.26819674333</v>
      </c>
      <c r="BY18" s="3">
        <f t="shared" ref="BY18" si="108">AVERAGE(BS18,BV18)</f>
        <v>2241.896899381903</v>
      </c>
      <c r="BZ18" s="21">
        <f t="shared" ref="BZ18" si="109">BX18/BY18</f>
        <v>180.36166975752735</v>
      </c>
      <c r="CA18" s="3">
        <f t="shared" si="71"/>
        <v>392731.58609954768</v>
      </c>
      <c r="CB18" s="3">
        <f t="shared" si="72"/>
        <v>2080.1782813799782</v>
      </c>
      <c r="CC18" s="21">
        <f t="shared" ref="CC18" si="110">CA18/CB18</f>
        <v>188.79708033438934</v>
      </c>
      <c r="CE18" s="834" t="s">
        <v>148</v>
      </c>
      <c r="CF18" s="14">
        <f t="shared" si="74"/>
        <v>1.5070221000743813</v>
      </c>
      <c r="CG18" s="14">
        <f t="shared" si="53"/>
        <v>1.4964028776978417</v>
      </c>
      <c r="CH18" s="253">
        <f t="shared" si="75"/>
        <v>2.2371537247021673</v>
      </c>
      <c r="CI18" s="253">
        <f t="shared" si="54"/>
        <v>2.443661971830986</v>
      </c>
      <c r="CJ18" s="253">
        <f t="shared" si="76"/>
        <v>1.8182859674038043</v>
      </c>
      <c r="CK18" s="253">
        <f t="shared" si="55"/>
        <v>1.8279246760808245</v>
      </c>
      <c r="CL18" s="253">
        <f t="shared" si="56"/>
        <v>0.73013162462778602</v>
      </c>
      <c r="CM18" s="253">
        <f t="shared" si="3"/>
        <v>0.94725909413314424</v>
      </c>
      <c r="CN18" s="15">
        <f t="shared" si="4"/>
        <v>2.2371537247021673</v>
      </c>
      <c r="CO18" s="7">
        <f t="shared" si="5"/>
        <v>2.443661971830986</v>
      </c>
      <c r="CP18" s="10">
        <f t="shared" si="6"/>
        <v>2.228559865268875</v>
      </c>
      <c r="CQ18" s="11">
        <f t="shared" si="7"/>
        <v>2.2978723404255321</v>
      </c>
      <c r="CR18" s="10">
        <f t="shared" si="8"/>
        <v>1.954091627172196</v>
      </c>
      <c r="CS18" s="25">
        <f t="shared" si="9"/>
        <v>1.88</v>
      </c>
      <c r="CT18" s="10">
        <f t="shared" si="10"/>
        <v>1.9575602009962803</v>
      </c>
      <c r="CU18" s="25">
        <f t="shared" si="11"/>
        <v>1.8614232209737829</v>
      </c>
      <c r="CV18" s="10">
        <f t="shared" si="12"/>
        <v>1.5070221000743813</v>
      </c>
      <c r="CW18" s="25">
        <f t="shared" si="13"/>
        <v>1.4964028776978417</v>
      </c>
      <c r="CX18" s="10">
        <f t="shared" si="14"/>
        <v>2.0026000000000002</v>
      </c>
      <c r="CY18" s="25">
        <f t="shared" si="15"/>
        <v>1.9482961222091657</v>
      </c>
      <c r="CZ18" s="10">
        <f t="shared" si="16"/>
        <v>1.7372668243065721</v>
      </c>
      <c r="DA18" s="25">
        <f t="shared" si="17"/>
        <v>1.7695099818511797</v>
      </c>
      <c r="DB18" s="10">
        <f t="shared" si="18"/>
        <v>1.903827070653612</v>
      </c>
      <c r="DC18" s="25">
        <f t="shared" si="19"/>
        <v>1.9907407407407407</v>
      </c>
      <c r="DD18" s="10">
        <f t="shared" si="20"/>
        <v>1.6059946043610622</v>
      </c>
      <c r="DE18" s="25">
        <f t="shared" si="21"/>
        <v>1.6153846153846154</v>
      </c>
      <c r="DF18" s="10">
        <f t="shared" si="22"/>
        <v>2.0157935713491271</v>
      </c>
      <c r="DG18" s="25">
        <f t="shared" si="23"/>
        <v>1.9492753623188406</v>
      </c>
      <c r="DH18" s="10">
        <f t="shared" si="24"/>
        <v>2.2025735976455825</v>
      </c>
      <c r="DI18" s="25">
        <f t="shared" si="25"/>
        <v>2.16793893129771</v>
      </c>
      <c r="DJ18" s="10">
        <f t="shared" si="26"/>
        <v>1.6277137600464802</v>
      </c>
      <c r="DK18" s="25">
        <f t="shared" si="27"/>
        <v>1.6411347517730497</v>
      </c>
      <c r="DL18" s="10">
        <f t="shared" si="97"/>
        <v>1.7404124055135617</v>
      </c>
      <c r="DM18" s="25">
        <f t="shared" si="98"/>
        <v>1.7708333333333333</v>
      </c>
      <c r="DN18" s="10">
        <f t="shared" si="28"/>
        <v>1.773806503690037</v>
      </c>
      <c r="DO18" s="25">
        <f t="shared" si="29"/>
        <v>1.7880633373934227</v>
      </c>
      <c r="DP18" s="10">
        <f t="shared" si="30"/>
        <v>1.6592910500441254</v>
      </c>
      <c r="DQ18" s="25">
        <f t="shared" si="31"/>
        <v>1.7082872928176795</v>
      </c>
      <c r="DR18" s="10">
        <f t="shared" si="57"/>
        <v>1.5998307977974602</v>
      </c>
      <c r="DS18" s="25">
        <f t="shared" si="32"/>
        <v>1.5178470254957508</v>
      </c>
      <c r="DT18" s="10">
        <f t="shared" si="58"/>
        <v>1.747710076546618</v>
      </c>
      <c r="DU18" s="25">
        <f t="shared" si="59"/>
        <v>1.7696793002915452</v>
      </c>
      <c r="DV18" s="10">
        <f t="shared" si="33"/>
        <v>1.5343537014518782</v>
      </c>
      <c r="DW18" s="25">
        <f t="shared" si="34"/>
        <v>1.5692158760890609</v>
      </c>
      <c r="DX18" s="16"/>
      <c r="DY18" s="18">
        <f t="shared" si="35"/>
        <v>-0.20650824712881866</v>
      </c>
      <c r="DZ18" s="26"/>
      <c r="EA18" s="27">
        <f t="shared" si="36"/>
        <v>-6.9312475156657172E-2</v>
      </c>
      <c r="EB18" s="19"/>
      <c r="EC18" s="17">
        <f t="shared" si="37"/>
        <v>7.4091627172196084E-2</v>
      </c>
      <c r="ED18" s="19"/>
      <c r="EE18" s="17">
        <f t="shared" si="38"/>
        <v>9.6136980022497376E-2</v>
      </c>
      <c r="EF18" s="19"/>
      <c r="EG18" s="17">
        <f t="shared" si="39"/>
        <v>1.0619222376539561E-2</v>
      </c>
      <c r="EH18" s="19"/>
      <c r="EI18" s="17">
        <f t="shared" si="40"/>
        <v>5.4303877790834454E-2</v>
      </c>
      <c r="EJ18" s="19"/>
      <c r="EK18" s="17">
        <f t="shared" si="41"/>
        <v>-3.2243157544607604E-2</v>
      </c>
      <c r="EL18" s="19"/>
      <c r="EM18" s="17">
        <f t="shared" si="42"/>
        <v>-8.6913670087128692E-2</v>
      </c>
      <c r="EN18" s="19"/>
      <c r="EO18" s="17">
        <f t="shared" si="43"/>
        <v>-9.3900110235531908E-3</v>
      </c>
      <c r="EP18" s="19"/>
      <c r="EQ18" s="17">
        <f t="shared" si="44"/>
        <v>6.651820903028649E-2</v>
      </c>
      <c r="ER18" s="19"/>
      <c r="ES18" s="17">
        <f t="shared" si="45"/>
        <v>3.4634666347872489E-2</v>
      </c>
      <c r="ET18" s="19"/>
      <c r="EU18" s="17">
        <f t="shared" si="46"/>
        <v>-1.342099172656952E-2</v>
      </c>
      <c r="EV18" s="19"/>
      <c r="EW18" s="17">
        <f t="shared" si="47"/>
        <v>-3.042092781977157E-2</v>
      </c>
      <c r="EX18" s="19"/>
      <c r="EY18" s="17">
        <f t="shared" si="48"/>
        <v>-1.4256833703385707E-2</v>
      </c>
      <c r="EZ18" s="19"/>
      <c r="FA18" s="17">
        <f t="shared" si="49"/>
        <v>-4.8996242773554188E-2</v>
      </c>
      <c r="FB18" s="19"/>
      <c r="FC18" s="18">
        <f t="shared" si="50"/>
        <v>8.198377230170939E-2</v>
      </c>
      <c r="FD18" s="19"/>
      <c r="FE18" s="18">
        <f t="shared" si="60"/>
        <v>-2.1969223744927158E-2</v>
      </c>
      <c r="FF18" s="19"/>
      <c r="FG18" s="18">
        <f t="shared" si="61"/>
        <v>-3.4862174637182664E-2</v>
      </c>
    </row>
    <row r="19" spans="1:163" ht="15.75" hidden="1" outlineLevel="1" thickBot="1" x14ac:dyDescent="0.3">
      <c r="A19" s="832">
        <v>10</v>
      </c>
      <c r="B19" s="3">
        <v>31587</v>
      </c>
      <c r="C19" s="3">
        <v>161</v>
      </c>
      <c r="D19" s="20">
        <f>IFERROR(Tabelle3[[#This Row],[Ned (€)]]/Tabelle3[[#This Row],[Ned (Backer)]],"")</f>
        <v>196.19254658385094</v>
      </c>
      <c r="E19" s="3">
        <v>81327</v>
      </c>
      <c r="F19" s="3">
        <v>350</v>
      </c>
      <c r="G19" s="20">
        <f>Tabelle3[[#This Row],[Werkzeuge (€)]]/Tabelle3[[#This Row],[Werkzeuge (Backer)]]</f>
        <v>232.36285714285714</v>
      </c>
      <c r="H19" s="3">
        <v>66650</v>
      </c>
      <c r="I19" s="3">
        <v>369</v>
      </c>
      <c r="J19" s="20">
        <f>Tabelle3[[#This Row],[DSK Fasar (€)]]/Tabelle3[[#This Row],[DSK Fasar (Backer)]]</f>
        <v>180.62330623306232</v>
      </c>
      <c r="K19" s="3">
        <v>48853</v>
      </c>
      <c r="L19" s="3">
        <v>282</v>
      </c>
      <c r="M19" s="358">
        <f>Tabelle3[[#This Row],[Mythen (€)]]/Tabelle3[[#This Row],[Mythen (Backer)]]</f>
        <v>173.23758865248226</v>
      </c>
      <c r="N19" s="3">
        <v>163194</v>
      </c>
      <c r="O19" s="3">
        <v>1140</v>
      </c>
      <c r="P19" s="20">
        <f>Tabelle3[[#This Row],[SOK (€)]]/Tabelle3[[#This Row],[SOK (Backer)]]</f>
        <v>143.15263157894736</v>
      </c>
      <c r="Q19" s="3">
        <v>203877</v>
      </c>
      <c r="R19" s="3">
        <v>893</v>
      </c>
      <c r="S19" s="20">
        <f>Tabelle3[[#This Row],[RE (€)]]/Tabelle3[[#This Row],[RE (Backer)]]</f>
        <v>228.30571108622621</v>
      </c>
      <c r="T19" s="3">
        <v>136715</v>
      </c>
      <c r="U19" s="3">
        <v>565</v>
      </c>
      <c r="V19" s="20">
        <f>Tabelle3[[#This Row],[DGG (€)]]/Tabelle3[[#This Row],[DGG (Backer)]]</f>
        <v>241.97345132743362</v>
      </c>
      <c r="W19" s="3">
        <v>62608</v>
      </c>
      <c r="X19" s="3">
        <v>336</v>
      </c>
      <c r="Y19" s="20">
        <f>Tabelle3[[#This Row],[DSK SV (€)]]/Tabelle3[[#This Row],[DSK SV (Backer)]]</f>
        <v>186.33333333333334</v>
      </c>
      <c r="Z19" s="3">
        <v>209016</v>
      </c>
      <c r="AA19" s="3">
        <v>1073</v>
      </c>
      <c r="AB19" s="20">
        <f>Tabelle3[[#This Row],[WW (€)]]/Tabelle3[[#This Row],[WW (Backer)]]</f>
        <v>194.79589934762348</v>
      </c>
      <c r="AC19" s="3">
        <v>18530</v>
      </c>
      <c r="AD19" s="3">
        <v>143</v>
      </c>
      <c r="AE19" s="20">
        <f>Tabelle3[[#This Row],[DSK R (€)]]/Tabelle3[[#This Row],[DSK R (Backer)]]</f>
        <v>129.58041958041957</v>
      </c>
      <c r="AF19" s="3">
        <v>120667</v>
      </c>
      <c r="AG19" s="3">
        <v>564</v>
      </c>
      <c r="AH19" s="20">
        <f>Tabelle3[[#This Row],[Ära (€)]]/Tabelle3[[#This Row],[Ära (Backer)]]</f>
        <v>213.94858156028369</v>
      </c>
      <c r="AI19" s="3">
        <v>53657</v>
      </c>
      <c r="AJ19" s="3">
        <v>727</v>
      </c>
      <c r="AK19" s="20">
        <f>Tabelle3[[#This Row],[Mosaik (€)]]/Tabelle3[[#This Row],[Mosaik (Backer)]]</f>
        <v>73.806052269601096</v>
      </c>
      <c r="AL19" s="3">
        <v>37454</v>
      </c>
      <c r="AM19" s="3">
        <v>250</v>
      </c>
      <c r="AN19" s="20">
        <f>Tabelle3[[#This Row],[DSK ES (€)]]/Tabelle3[[#This Row],[DSK ES (Backer)]]</f>
        <v>149.816</v>
      </c>
      <c r="AO19" s="3">
        <v>180535</v>
      </c>
      <c r="AP19" s="3">
        <v>858</v>
      </c>
      <c r="AQ19" s="20">
        <f>Tabelle3[[#This Row],[ES (€)]]/Tabelle3[[#This Row],[ES (Backer)]]</f>
        <v>210.41375291375292</v>
      </c>
      <c r="AR19" s="3">
        <v>217511.64</v>
      </c>
      <c r="AS19" s="3">
        <v>957</v>
      </c>
      <c r="AT19" s="20">
        <f>Tabelle3[[#This Row],[WF (€)]]/Tabelle3[[#This Row],[WF(Backer)]]</f>
        <v>227.28489028213167</v>
      </c>
      <c r="AU19" s="3">
        <v>355633</v>
      </c>
      <c r="AV19" s="3">
        <v>1797</v>
      </c>
      <c r="AW19" s="20">
        <f>Tabelle3[[#This Row],[AKM (€)]]/Tabelle3[[#This Row],[AKM(Backer)]]</f>
        <v>197.90372843628271</v>
      </c>
      <c r="AX19" s="3">
        <v>201255</v>
      </c>
      <c r="AY19" s="3">
        <v>693</v>
      </c>
      <c r="AZ19" s="20">
        <f>Tabelle3[[#This Row],[Lex (€)]]/Tabelle3[[#This Row],[Lex(Backer)]]</f>
        <v>290.41125541125541</v>
      </c>
      <c r="BA19" s="3">
        <v>237361</v>
      </c>
      <c r="BB19" s="3">
        <v>1053</v>
      </c>
      <c r="BC19" s="20">
        <f>Tabelle3[[#This Row],[KA (€)]]/Tabelle3[[#This Row],[KA (Backer)]]</f>
        <v>225.41405508072174</v>
      </c>
      <c r="BD19" s="831">
        <f>'Übersicht &amp; Anleitung'!AR66</f>
        <v>223980</v>
      </c>
      <c r="BE19" s="831">
        <f>'Übersicht &amp; Anleitung'!AS66</f>
        <v>1182</v>
      </c>
      <c r="BF19" s="20">
        <f>Tabelle3[[#This Row],[MAR (€)]]/Tabelle3[[#This Row],[MAR (Backer)]]</f>
        <v>189.49238578680203</v>
      </c>
      <c r="BP19" s="167"/>
      <c r="BQ19" s="834" t="s">
        <v>149</v>
      </c>
      <c r="BR19" s="6">
        <f t="shared" si="62"/>
        <v>328127.66682598623</v>
      </c>
      <c r="BS19" s="6">
        <f t="shared" si="63"/>
        <v>1725.3052631578948</v>
      </c>
      <c r="BT19" s="21">
        <f t="shared" ref="BT19" si="111">BR19/BS19</f>
        <v>190.18528131387086</v>
      </c>
      <c r="BU19" s="6">
        <f t="shared" si="65"/>
        <v>470121.97646538052</v>
      </c>
      <c r="BV19" s="6">
        <f t="shared" si="66"/>
        <v>2553.1200000000003</v>
      </c>
      <c r="BW19" s="21">
        <f t="shared" ref="BW19" si="112">BU19/BV19</f>
        <v>184.13626326431208</v>
      </c>
      <c r="BX19" s="3">
        <f t="shared" ref="BX19" si="113">AVERAGE(BR19,BU19)</f>
        <v>399124.82164568338</v>
      </c>
      <c r="BY19" s="3">
        <f t="shared" ref="BY19" si="114">AVERAGE(BS19,BV19)</f>
        <v>2139.2126315789474</v>
      </c>
      <c r="BZ19" s="21">
        <f t="shared" ref="BZ19" si="115">BX19/BY19</f>
        <v>186.57557259798452</v>
      </c>
      <c r="CA19" s="3">
        <f t="shared" si="71"/>
        <v>389787.84772715822</v>
      </c>
      <c r="CB19" s="3">
        <f t="shared" si="72"/>
        <v>2066.2287371102002</v>
      </c>
      <c r="CC19" s="21">
        <f t="shared" ref="CC19" si="116">CA19/CB19</f>
        <v>188.64699765637289</v>
      </c>
      <c r="CD19" s="167"/>
      <c r="CE19" s="834" t="s">
        <v>149</v>
      </c>
      <c r="CF19" s="14">
        <f t="shared" si="74"/>
        <v>1.4649864578354597</v>
      </c>
      <c r="CG19" s="14">
        <f t="shared" si="53"/>
        <v>1.4596491228070176</v>
      </c>
      <c r="CH19" s="253">
        <f t="shared" si="75"/>
        <v>2.098946229419504</v>
      </c>
      <c r="CI19" s="253">
        <f t="shared" si="54"/>
        <v>2.16</v>
      </c>
      <c r="CJ19" s="253">
        <f t="shared" si="76"/>
        <v>1.7402797023268071</v>
      </c>
      <c r="CK19" s="253">
        <f t="shared" si="55"/>
        <v>1.7480784577920474</v>
      </c>
      <c r="CL19" s="253">
        <f t="shared" si="56"/>
        <v>0.63395977158404437</v>
      </c>
      <c r="CM19" s="253">
        <f t="shared" si="3"/>
        <v>0.7003508771929825</v>
      </c>
      <c r="CN19" s="15">
        <f t="shared" si="4"/>
        <v>1.973755025801754</v>
      </c>
      <c r="CO19" s="7">
        <f t="shared" si="5"/>
        <v>2.1552795031055902</v>
      </c>
      <c r="CP19" s="10">
        <f t="shared" si="6"/>
        <v>2.098946229419504</v>
      </c>
      <c r="CQ19" s="11">
        <f t="shared" si="7"/>
        <v>2.16</v>
      </c>
      <c r="CR19" s="10">
        <f t="shared" si="8"/>
        <v>1.855873968492123</v>
      </c>
      <c r="CS19" s="25">
        <f t="shared" si="9"/>
        <v>1.7831978319783197</v>
      </c>
      <c r="CT19" s="10">
        <f t="shared" si="10"/>
        <v>1.8420772521646573</v>
      </c>
      <c r="CU19" s="25">
        <f t="shared" si="11"/>
        <v>1.7624113475177305</v>
      </c>
      <c r="CV19" s="10">
        <f t="shared" si="12"/>
        <v>1.4649864578354597</v>
      </c>
      <c r="CW19" s="25">
        <f t="shared" si="13"/>
        <v>1.4596491228070176</v>
      </c>
      <c r="CX19" s="10">
        <f t="shared" si="14"/>
        <v>1.9154048764696361</v>
      </c>
      <c r="CY19" s="25">
        <f t="shared" si="15"/>
        <v>1.8566629339305711</v>
      </c>
      <c r="CZ19" s="10">
        <f t="shared" si="16"/>
        <v>1.6927915737117361</v>
      </c>
      <c r="DA19" s="25">
        <f t="shared" si="17"/>
        <v>1.7256637168141593</v>
      </c>
      <c r="DB19" s="10">
        <f t="shared" si="18"/>
        <v>1.8386308458982878</v>
      </c>
      <c r="DC19" s="25">
        <f t="shared" si="19"/>
        <v>1.9196428571428572</v>
      </c>
      <c r="DD19" s="10">
        <f t="shared" si="20"/>
        <v>1.5522017453209325</v>
      </c>
      <c r="DE19" s="25">
        <f t="shared" si="21"/>
        <v>1.565703634669152</v>
      </c>
      <c r="DF19" s="10">
        <f t="shared" si="22"/>
        <v>1.9561791689152725</v>
      </c>
      <c r="DG19" s="25">
        <f t="shared" si="23"/>
        <v>1.881118881118881</v>
      </c>
      <c r="DH19" s="10">
        <f t="shared" si="24"/>
        <v>2.0653451233560127</v>
      </c>
      <c r="DI19" s="25">
        <f t="shared" si="25"/>
        <v>2.0141843971631204</v>
      </c>
      <c r="DJ19" s="10">
        <f t="shared" si="26"/>
        <v>1.5663753098384181</v>
      </c>
      <c r="DK19" s="25">
        <f t="shared" si="27"/>
        <v>1.5914718019257221</v>
      </c>
      <c r="DL19" s="10">
        <f t="shared" si="97"/>
        <v>1.6721044481230309</v>
      </c>
      <c r="DM19" s="25">
        <f t="shared" si="98"/>
        <v>1.7</v>
      </c>
      <c r="DN19" s="10">
        <f t="shared" si="28"/>
        <v>1.7040961586395991</v>
      </c>
      <c r="DO19" s="25">
        <f t="shared" si="29"/>
        <v>1.710955710955711</v>
      </c>
      <c r="DP19" s="10">
        <f t="shared" si="30"/>
        <v>1.5723599895619378</v>
      </c>
      <c r="DQ19" s="25">
        <f t="shared" si="31"/>
        <v>1.6154649947753397</v>
      </c>
      <c r="DR19" s="10">
        <f t="shared" si="57"/>
        <v>1.5762779044689328</v>
      </c>
      <c r="DS19" s="25">
        <f t="shared" si="32"/>
        <v>1.4908180300500835</v>
      </c>
      <c r="DT19" s="10">
        <f t="shared" si="58"/>
        <v>1.7300814389704602</v>
      </c>
      <c r="DU19" s="25">
        <f t="shared" si="59"/>
        <v>1.7518037518037517</v>
      </c>
      <c r="DV19" s="10">
        <f t="shared" si="33"/>
        <v>1.5044372917202067</v>
      </c>
      <c r="DW19" s="25">
        <f t="shared" si="34"/>
        <v>1.5394112060778729</v>
      </c>
      <c r="DX19" s="16"/>
      <c r="DY19" s="18">
        <f t="shared" si="35"/>
        <v>-0.18152447730383625</v>
      </c>
      <c r="DZ19" s="26"/>
      <c r="EA19" s="27">
        <f t="shared" si="36"/>
        <v>-6.1053770580496103E-2</v>
      </c>
      <c r="EB19" s="19"/>
      <c r="EC19" s="17">
        <f t="shared" si="37"/>
        <v>7.2676136513803336E-2</v>
      </c>
      <c r="ED19" s="19"/>
      <c r="EE19" s="17">
        <f t="shared" si="38"/>
        <v>7.96659046469268E-2</v>
      </c>
      <c r="EF19" s="19"/>
      <c r="EG19" s="17">
        <f t="shared" si="39"/>
        <v>5.3373350284420251E-3</v>
      </c>
      <c r="EH19" s="19"/>
      <c r="EI19" s="17">
        <f t="shared" si="40"/>
        <v>5.8741942539064951E-2</v>
      </c>
      <c r="EJ19" s="19"/>
      <c r="EK19" s="17">
        <f t="shared" si="41"/>
        <v>-3.2872143102423257E-2</v>
      </c>
      <c r="EL19" s="19"/>
      <c r="EM19" s="17">
        <f t="shared" si="42"/>
        <v>-8.101201124456936E-2</v>
      </c>
      <c r="EN19" s="19"/>
      <c r="EO19" s="17">
        <f t="shared" si="43"/>
        <v>-1.3501889348219498E-2</v>
      </c>
      <c r="EP19" s="19"/>
      <c r="EQ19" s="17">
        <f t="shared" si="44"/>
        <v>7.5060287796391512E-2</v>
      </c>
      <c r="ER19" s="19"/>
      <c r="ES19" s="17">
        <f t="shared" si="45"/>
        <v>5.1160726192892358E-2</v>
      </c>
      <c r="ET19" s="19"/>
      <c r="EU19" s="17">
        <f t="shared" si="46"/>
        <v>-2.5096492087304023E-2</v>
      </c>
      <c r="EV19" s="19"/>
      <c r="EW19" s="17">
        <f t="shared" si="47"/>
        <v>-2.7895551876969016E-2</v>
      </c>
      <c r="EX19" s="19"/>
      <c r="EY19" s="17">
        <f t="shared" si="48"/>
        <v>-6.8595523161119054E-3</v>
      </c>
      <c r="EZ19" s="19"/>
      <c r="FA19" s="17">
        <f t="shared" si="49"/>
        <v>-4.3105005213401881E-2</v>
      </c>
      <c r="FB19" s="19"/>
      <c r="FC19" s="18">
        <f t="shared" si="50"/>
        <v>8.545987441884928E-2</v>
      </c>
      <c r="FD19" s="19"/>
      <c r="FE19" s="18">
        <f t="shared" si="60"/>
        <v>-2.1722312833291513E-2</v>
      </c>
      <c r="FF19" s="19"/>
      <c r="FG19" s="18">
        <f t="shared" si="61"/>
        <v>-3.4973914357666169E-2</v>
      </c>
    </row>
    <row r="20" spans="1:163" ht="15.75" hidden="1" outlineLevel="1" thickBot="1" x14ac:dyDescent="0.3">
      <c r="A20" s="832">
        <v>11</v>
      </c>
      <c r="B20" s="3">
        <v>34703</v>
      </c>
      <c r="C20" s="3">
        <v>178</v>
      </c>
      <c r="D20" s="20">
        <f>IFERROR(Tabelle3[[#This Row],[Ned (€)]]/Tabelle3[[#This Row],[Ned (Backer)]],"")</f>
        <v>194.96067415730337</v>
      </c>
      <c r="E20" s="3">
        <v>83062</v>
      </c>
      <c r="F20" s="3">
        <v>356</v>
      </c>
      <c r="G20" s="358">
        <f>Tabelle3[[#This Row],[Werkzeuge (€)]]/Tabelle3[[#This Row],[Werkzeuge (Backer)]]</f>
        <v>233.32022471910113</v>
      </c>
      <c r="H20" s="3">
        <v>69668</v>
      </c>
      <c r="I20" s="3">
        <v>386</v>
      </c>
      <c r="J20" s="20">
        <f>Tabelle3[[#This Row],[DSK Fasar (€)]]/Tabelle3[[#This Row],[DSK Fasar (Backer)]]</f>
        <v>180.48704663212436</v>
      </c>
      <c r="K20" s="3">
        <v>50284</v>
      </c>
      <c r="L20" s="3">
        <v>291</v>
      </c>
      <c r="M20" s="20">
        <f>Tabelle3[[#This Row],[Mythen (€)]]/Tabelle3[[#This Row],[Mythen (Backer)]]</f>
        <v>172.79725085910653</v>
      </c>
      <c r="N20" s="3">
        <v>166405</v>
      </c>
      <c r="O20" s="3">
        <v>1163</v>
      </c>
      <c r="P20" s="20">
        <f>Tabelle3[[#This Row],[SOK (€)]]/Tabelle3[[#This Row],[SOK (Backer)]]</f>
        <v>143.08254514187448</v>
      </c>
      <c r="Q20" s="3">
        <v>212794</v>
      </c>
      <c r="R20" s="3">
        <v>935</v>
      </c>
      <c r="S20" s="20">
        <f>Tabelle3[[#This Row],[RE (€)]]/Tabelle3[[#This Row],[RE (Backer)]]</f>
        <v>227.58716577540108</v>
      </c>
      <c r="T20" s="3">
        <v>139670</v>
      </c>
      <c r="U20" s="3">
        <v>582</v>
      </c>
      <c r="V20" s="20">
        <f>Tabelle3[[#This Row],[DGG (€)]]/Tabelle3[[#This Row],[DGG (Backer)]]</f>
        <v>239.98281786941581</v>
      </c>
      <c r="W20" s="3">
        <v>63707</v>
      </c>
      <c r="X20" s="3">
        <v>345</v>
      </c>
      <c r="Y20" s="20">
        <f>Tabelle3[[#This Row],[DSK SV (€)]]/Tabelle3[[#This Row],[DSK SV (Backer)]]</f>
        <v>184.65797101449274</v>
      </c>
      <c r="Z20" s="3">
        <v>214911</v>
      </c>
      <c r="AA20" s="3">
        <v>1104</v>
      </c>
      <c r="AB20" s="20">
        <f>Tabelle3[[#This Row],[WW (€)]]/Tabelle3[[#This Row],[WW (Backer)]]</f>
        <v>194.66576086956522</v>
      </c>
      <c r="AC20" s="3">
        <v>19542</v>
      </c>
      <c r="AD20" s="3">
        <v>150</v>
      </c>
      <c r="AE20" s="20">
        <f>Tabelle3[[#This Row],[DSK R (€)]]/Tabelle3[[#This Row],[DSK R (Backer)]]</f>
        <v>130.28</v>
      </c>
      <c r="AF20" s="3">
        <v>127353</v>
      </c>
      <c r="AG20" s="3">
        <v>596</v>
      </c>
      <c r="AH20" s="20">
        <f>Tabelle3[[#This Row],[Ära (€)]]/Tabelle3[[#This Row],[Ära (Backer)]]</f>
        <v>213.67953020134229</v>
      </c>
      <c r="AI20" s="3">
        <v>55502</v>
      </c>
      <c r="AJ20" s="3">
        <v>753</v>
      </c>
      <c r="AK20" s="20">
        <f>Tabelle3[[#This Row],[Mosaik (€)]]/Tabelle3[[#This Row],[Mosaik (Backer)]]</f>
        <v>73.70783532536521</v>
      </c>
      <c r="AL20" s="3">
        <v>38542</v>
      </c>
      <c r="AM20" s="3">
        <v>256</v>
      </c>
      <c r="AN20" s="20">
        <f>Tabelle3[[#This Row],[DSK ES (€)]]/Tabelle3[[#This Row],[DSK ES (Backer)]]</f>
        <v>150.5546875</v>
      </c>
      <c r="AO20" s="3">
        <v>184785</v>
      </c>
      <c r="AP20" s="3">
        <v>877</v>
      </c>
      <c r="AQ20" s="20">
        <f>Tabelle3[[#This Row],[ES (€)]]/Tabelle3[[#This Row],[ES (Backer)]]</f>
        <v>210.7012542759407</v>
      </c>
      <c r="AR20" s="3">
        <v>224693.2</v>
      </c>
      <c r="AS20" s="3">
        <v>989</v>
      </c>
      <c r="AT20" s="20">
        <f>Tabelle3[[#This Row],[WF (€)]]/Tabelle3[[#This Row],[WF(Backer)]]</f>
        <v>227.19231547017191</v>
      </c>
      <c r="AU20" s="3">
        <v>375515</v>
      </c>
      <c r="AV20" s="3">
        <v>1830</v>
      </c>
      <c r="AW20" s="20">
        <f>Tabelle3[[#This Row],[AKM (€)]]/Tabelle3[[#This Row],[AKM(Backer)]]</f>
        <v>205.19945355191257</v>
      </c>
      <c r="AX20" s="3">
        <v>207266</v>
      </c>
      <c r="AY20" s="3">
        <v>716</v>
      </c>
      <c r="AZ20" s="20">
        <f>Tabelle3[[#This Row],[Lex (€)]]/Tabelle3[[#This Row],[Lex(Backer)]]</f>
        <v>289.47765363128491</v>
      </c>
      <c r="BA20" s="3">
        <v>244951</v>
      </c>
      <c r="BB20" s="3">
        <v>1080</v>
      </c>
      <c r="BC20" s="20">
        <f>Tabelle3[[#This Row],[KA (€)]]/Tabelle3[[#This Row],[KA (Backer)]]</f>
        <v>226.80648148148148</v>
      </c>
      <c r="BD20" s="831">
        <f>'Übersicht &amp; Anleitung'!AR67</f>
        <v>229146</v>
      </c>
      <c r="BE20" s="831">
        <f>'Übersicht &amp; Anleitung'!AS67</f>
        <v>1209</v>
      </c>
      <c r="BF20" s="20">
        <f>Tabelle3[[#This Row],[MAR (€)]]/Tabelle3[[#This Row],[MAR (Backer)]]</f>
        <v>189.53349875930522</v>
      </c>
      <c r="BQ20" s="834" t="s">
        <v>150</v>
      </c>
      <c r="BR20" s="6">
        <f t="shared" si="62"/>
        <v>329218.10187193891</v>
      </c>
      <c r="BS20" s="6">
        <f t="shared" si="63"/>
        <v>1729.8159931212383</v>
      </c>
      <c r="BT20" s="21">
        <f t="shared" ref="BT20" si="117">BR20/BS20</f>
        <v>190.31972370535533</v>
      </c>
      <c r="BU20" s="6">
        <f t="shared" si="65"/>
        <v>470918.7275288339</v>
      </c>
      <c r="BV20" s="6">
        <f t="shared" si="66"/>
        <v>2567.4269662921351</v>
      </c>
      <c r="BW20" s="21">
        <f t="shared" ref="BW20" si="118">BU20/BV20</f>
        <v>183.42049597186102</v>
      </c>
      <c r="BX20" s="3">
        <f t="shared" ref="BX20" si="119">AVERAGE(BR20,BU20)</f>
        <v>400068.41470038641</v>
      </c>
      <c r="BY20" s="3">
        <f t="shared" ref="BY20" si="120">AVERAGE(BS20,BV20)</f>
        <v>2148.6214797066868</v>
      </c>
      <c r="BZ20" s="21">
        <f t="shared" ref="BZ20" si="121">BX20/BY20</f>
        <v>186.19771722425517</v>
      </c>
      <c r="CA20" s="3">
        <f t="shared" si="71"/>
        <v>384519.56621089467</v>
      </c>
      <c r="CB20" s="3">
        <f t="shared" si="72"/>
        <v>2038.9434140266635</v>
      </c>
      <c r="CC20" s="21">
        <f t="shared" ref="CC20" si="122">CA20/CB20</f>
        <v>188.58765945422468</v>
      </c>
      <c r="CE20" s="834" t="s">
        <v>150</v>
      </c>
      <c r="CF20" s="14">
        <f t="shared" si="74"/>
        <v>1.4367176467053273</v>
      </c>
      <c r="CG20" s="14">
        <f t="shared" si="53"/>
        <v>1.4307824591573517</v>
      </c>
      <c r="CH20" s="253">
        <f t="shared" si="75"/>
        <v>2.0551034167248563</v>
      </c>
      <c r="CI20" s="253">
        <f t="shared" si="54"/>
        <v>2.1235955056179776</v>
      </c>
      <c r="CJ20" s="253">
        <f t="shared" si="76"/>
        <v>1.6780548916886817</v>
      </c>
      <c r="CK20" s="253">
        <f t="shared" si="55"/>
        <v>1.6864709793438077</v>
      </c>
      <c r="CL20" s="253">
        <f t="shared" si="56"/>
        <v>0.61838577001952899</v>
      </c>
      <c r="CM20" s="253">
        <f t="shared" si="3"/>
        <v>0.69281304646062591</v>
      </c>
      <c r="CN20" s="15">
        <f t="shared" si="4"/>
        <v>1.7965305593176382</v>
      </c>
      <c r="CO20" s="7">
        <f t="shared" si="5"/>
        <v>1.949438202247191</v>
      </c>
      <c r="CP20" s="10">
        <f t="shared" si="6"/>
        <v>2.0551034167248563</v>
      </c>
      <c r="CQ20" s="11">
        <f t="shared" si="7"/>
        <v>2.1235955056179776</v>
      </c>
      <c r="CR20" s="10">
        <f t="shared" si="8"/>
        <v>1.7754779812826549</v>
      </c>
      <c r="CS20" s="25">
        <f t="shared" si="9"/>
        <v>1.7046632124352332</v>
      </c>
      <c r="CT20" s="10">
        <f t="shared" si="10"/>
        <v>1.78965476095776</v>
      </c>
      <c r="CU20" s="25">
        <f t="shared" si="11"/>
        <v>1.7079037800687284</v>
      </c>
      <c r="CV20" s="10">
        <f t="shared" si="12"/>
        <v>1.4367176467053273</v>
      </c>
      <c r="CW20" s="25">
        <f t="shared" si="13"/>
        <v>1.4307824591573517</v>
      </c>
      <c r="CX20" s="10">
        <f t="shared" si="14"/>
        <v>1.8351410284124552</v>
      </c>
      <c r="CY20" s="25">
        <f t="shared" si="15"/>
        <v>1.7732620320855614</v>
      </c>
      <c r="CZ20" s="10">
        <f t="shared" si="16"/>
        <v>1.6569771604496313</v>
      </c>
      <c r="DA20" s="25">
        <f t="shared" si="17"/>
        <v>1.6752577319587629</v>
      </c>
      <c r="DB20" s="10">
        <f t="shared" si="18"/>
        <v>1.8069128981116676</v>
      </c>
      <c r="DC20" s="25">
        <f t="shared" si="19"/>
        <v>1.8695652173913044</v>
      </c>
      <c r="DD20" s="10">
        <f t="shared" si="20"/>
        <v>1.5096249144994904</v>
      </c>
      <c r="DE20" s="25">
        <f t="shared" si="21"/>
        <v>1.5217391304347827</v>
      </c>
      <c r="DF20" s="10">
        <f t="shared" si="22"/>
        <v>1.854876675877597</v>
      </c>
      <c r="DG20" s="25">
        <f t="shared" si="23"/>
        <v>1.7933333333333332</v>
      </c>
      <c r="DH20" s="10">
        <f t="shared" si="24"/>
        <v>1.9569150314480224</v>
      </c>
      <c r="DI20" s="25">
        <f t="shared" si="25"/>
        <v>1.9060402684563758</v>
      </c>
      <c r="DJ20" s="10">
        <f t="shared" si="26"/>
        <v>1.5143057907823141</v>
      </c>
      <c r="DK20" s="25">
        <f t="shared" si="27"/>
        <v>1.5365205843293492</v>
      </c>
      <c r="DL20" s="10">
        <f t="shared" si="97"/>
        <v>1.6249027035441856</v>
      </c>
      <c r="DM20" s="25">
        <f t="shared" si="98"/>
        <v>1.66015625</v>
      </c>
      <c r="DN20" s="10">
        <f t="shared" si="28"/>
        <v>1.6649024542035338</v>
      </c>
      <c r="DO20" s="25">
        <f t="shared" si="29"/>
        <v>1.6738882554161916</v>
      </c>
      <c r="DP20" s="10">
        <f t="shared" si="30"/>
        <v>1.5221048078001469</v>
      </c>
      <c r="DQ20" s="25">
        <f t="shared" si="31"/>
        <v>1.5631951466127401</v>
      </c>
      <c r="DR20" s="10">
        <f t="shared" si="57"/>
        <v>1.4928203666964035</v>
      </c>
      <c r="DS20" s="25">
        <f t="shared" si="32"/>
        <v>1.4639344262295082</v>
      </c>
      <c r="DT20" s="10">
        <f t="shared" si="58"/>
        <v>1.6799066899539721</v>
      </c>
      <c r="DU20" s="25">
        <f t="shared" si="59"/>
        <v>1.6955307262569832</v>
      </c>
      <c r="DV20" s="10">
        <f t="shared" si="33"/>
        <v>1.4578211152434568</v>
      </c>
      <c r="DW20" s="25">
        <f t="shared" si="34"/>
        <v>1.500925925925926</v>
      </c>
      <c r="DX20" s="16"/>
      <c r="DY20" s="18">
        <f t="shared" si="35"/>
        <v>-0.15290764292955283</v>
      </c>
      <c r="DZ20" s="26"/>
      <c r="EA20" s="27">
        <f t="shared" si="36"/>
        <v>-6.8492088893121306E-2</v>
      </c>
      <c r="EB20" s="19"/>
      <c r="EC20" s="17">
        <f t="shared" si="37"/>
        <v>7.0814768847421661E-2</v>
      </c>
      <c r="ED20" s="19"/>
      <c r="EE20" s="17">
        <f t="shared" si="38"/>
        <v>8.1750980889031544E-2</v>
      </c>
      <c r="EF20" s="19"/>
      <c r="EG20" s="17">
        <f t="shared" si="39"/>
        <v>5.9351875479756178E-3</v>
      </c>
      <c r="EH20" s="19"/>
      <c r="EI20" s="17">
        <f t="shared" si="40"/>
        <v>6.1878996326893754E-2</v>
      </c>
      <c r="EJ20" s="19"/>
      <c r="EK20" s="17">
        <f t="shared" si="41"/>
        <v>-1.8280571509131649E-2</v>
      </c>
      <c r="EL20" s="19"/>
      <c r="EM20" s="17">
        <f t="shared" si="42"/>
        <v>-6.2652319279636881E-2</v>
      </c>
      <c r="EN20" s="19"/>
      <c r="EO20" s="17">
        <f t="shared" si="43"/>
        <v>-1.2114215935292272E-2</v>
      </c>
      <c r="EP20" s="19"/>
      <c r="EQ20" s="17">
        <f t="shared" si="44"/>
        <v>6.1543342544263746E-2</v>
      </c>
      <c r="ER20" s="19"/>
      <c r="ES20" s="17">
        <f t="shared" si="45"/>
        <v>5.0874762991646616E-2</v>
      </c>
      <c r="ET20" s="19"/>
      <c r="EU20" s="17">
        <f t="shared" si="46"/>
        <v>-2.221479354703515E-2</v>
      </c>
      <c r="EV20" s="19"/>
      <c r="EW20" s="17">
        <f t="shared" si="47"/>
        <v>-3.5253546455814355E-2</v>
      </c>
      <c r="EX20" s="19"/>
      <c r="EY20" s="17">
        <f t="shared" si="48"/>
        <v>-8.9858012126577957E-3</v>
      </c>
      <c r="EZ20" s="19"/>
      <c r="FA20" s="17">
        <f t="shared" si="49"/>
        <v>-4.1090338812593163E-2</v>
      </c>
      <c r="FB20" s="19"/>
      <c r="FC20" s="18">
        <f t="shared" si="50"/>
        <v>2.8885940466895299E-2</v>
      </c>
      <c r="FD20" s="19"/>
      <c r="FE20" s="18">
        <f t="shared" si="60"/>
        <v>-1.5624036303011124E-2</v>
      </c>
      <c r="FF20" s="19"/>
      <c r="FG20" s="18">
        <f t="shared" si="61"/>
        <v>-4.3104810682469186E-2</v>
      </c>
    </row>
    <row r="21" spans="1:163" ht="15.75" hidden="1" outlineLevel="1" thickBot="1" x14ac:dyDescent="0.3">
      <c r="A21" s="832">
        <v>12</v>
      </c>
      <c r="B21" s="3">
        <v>36986</v>
      </c>
      <c r="C21" s="3">
        <v>193</v>
      </c>
      <c r="D21" s="20">
        <f>IFERROR(Tabelle3[[#This Row],[Ned (€)]]/Tabelle3[[#This Row],[Ned (Backer)]],"")</f>
        <v>191.63730569948186</v>
      </c>
      <c r="E21" s="3">
        <v>86154</v>
      </c>
      <c r="F21" s="3">
        <v>371</v>
      </c>
      <c r="G21" s="20">
        <f>Tabelle3[[#This Row],[Werkzeuge (€)]]/Tabelle3[[#This Row],[Werkzeuge (Backer)]]</f>
        <v>232.22102425876011</v>
      </c>
      <c r="H21" s="3">
        <v>71286</v>
      </c>
      <c r="I21" s="3">
        <v>395</v>
      </c>
      <c r="J21" s="20">
        <f>Tabelle3[[#This Row],[DSK Fasar (€)]]/Tabelle3[[#This Row],[DSK Fasar (Backer)]]</f>
        <v>180.47088607594938</v>
      </c>
      <c r="K21" s="3">
        <v>54218</v>
      </c>
      <c r="L21" s="3">
        <v>311</v>
      </c>
      <c r="M21" s="358">
        <f>Tabelle3[[#This Row],[Mythen (€)]]/Tabelle3[[#This Row],[Mythen (Backer)]]</f>
        <v>174.33440514469453</v>
      </c>
      <c r="N21" s="3">
        <v>169780</v>
      </c>
      <c r="O21" s="3">
        <v>1189</v>
      </c>
      <c r="P21" s="20">
        <f>Tabelle3[[#This Row],[SOK (€)]]/Tabelle3[[#This Row],[SOK (Backer)]]</f>
        <v>142.79226240538267</v>
      </c>
      <c r="Q21" s="3">
        <v>221864</v>
      </c>
      <c r="R21" s="3">
        <v>976</v>
      </c>
      <c r="S21" s="20">
        <f>Tabelle3[[#This Row],[RE (€)]]/Tabelle3[[#This Row],[RE (Backer)]]</f>
        <v>227.31967213114754</v>
      </c>
      <c r="T21" s="3">
        <v>143057</v>
      </c>
      <c r="U21" s="3">
        <v>598</v>
      </c>
      <c r="V21" s="20">
        <f>Tabelle3[[#This Row],[DGG (€)]]/Tabelle3[[#This Row],[DGG (Backer)]]</f>
        <v>239.22575250836121</v>
      </c>
      <c r="W21" s="3">
        <v>66094</v>
      </c>
      <c r="X21" s="3">
        <v>361</v>
      </c>
      <c r="Y21" s="20">
        <f>Tabelle3[[#This Row],[DSK SV (€)]]/Tabelle3[[#This Row],[DSK SV (Backer)]]</f>
        <v>183.08587257617728</v>
      </c>
      <c r="Z21" s="3">
        <v>220698</v>
      </c>
      <c r="AA21" s="3">
        <v>1137</v>
      </c>
      <c r="AB21" s="20">
        <f>Tabelle3[[#This Row],[WW (€)]]/Tabelle3[[#This Row],[WW (Backer)]]</f>
        <v>194.10554089709763</v>
      </c>
      <c r="AC21" s="3">
        <v>20594</v>
      </c>
      <c r="AD21" s="3">
        <v>154</v>
      </c>
      <c r="AE21" s="358">
        <f>Tabelle3[[#This Row],[DSK R (€)]]/Tabelle3[[#This Row],[DSK R (Backer)]]</f>
        <v>133.72727272727272</v>
      </c>
      <c r="AF21" s="3">
        <v>134068</v>
      </c>
      <c r="AG21" s="3">
        <v>624</v>
      </c>
      <c r="AH21" s="358">
        <f>Tabelle3[[#This Row],[Ära (€)]]/Tabelle3[[#This Row],[Ära (Backer)]]</f>
        <v>214.85256410256412</v>
      </c>
      <c r="AI21" s="3">
        <v>57013</v>
      </c>
      <c r="AJ21" s="3">
        <v>775</v>
      </c>
      <c r="AK21" s="20">
        <f>Tabelle3[[#This Row],[Mosaik (€)]]/Tabelle3[[#This Row],[Mosaik (Backer)]]</f>
        <v>73.565161290322578</v>
      </c>
      <c r="AL21" s="3">
        <v>40462</v>
      </c>
      <c r="AM21" s="3">
        <v>270</v>
      </c>
      <c r="AN21" s="20">
        <f>Tabelle3[[#This Row],[DSK ES (€)]]/Tabelle3[[#This Row],[DSK ES (Backer)]]</f>
        <v>149.85925925925926</v>
      </c>
      <c r="AO21" s="3">
        <v>189297</v>
      </c>
      <c r="AP21" s="3">
        <v>901</v>
      </c>
      <c r="AQ21" s="20">
        <f>Tabelle3[[#This Row],[ES (€)]]/Tabelle3[[#This Row],[ES (Backer)]]</f>
        <v>210.09655937846836</v>
      </c>
      <c r="AR21" s="3">
        <v>232990.67</v>
      </c>
      <c r="AS21" s="3">
        <v>1026</v>
      </c>
      <c r="AT21" s="20">
        <f>Tabelle3[[#This Row],[WF (€)]]/Tabelle3[[#This Row],[WF(Backer)]]</f>
        <v>227.08642300194933</v>
      </c>
      <c r="AU21" s="3">
        <v>383107</v>
      </c>
      <c r="AV21" s="3">
        <v>1863</v>
      </c>
      <c r="AW21" s="20">
        <f>Tabelle3[[#This Row],[AKM (€)]]/Tabelle3[[#This Row],[AKM(Backer)]]</f>
        <v>205.63982823403114</v>
      </c>
      <c r="AX21" s="3">
        <v>212275</v>
      </c>
      <c r="AY21" s="3">
        <v>732</v>
      </c>
      <c r="AZ21" s="20">
        <f>Tabelle3[[#This Row],[Lex (€)]]/Tabelle3[[#This Row],[Lex(Backer)]]</f>
        <v>289.99316939890713</v>
      </c>
      <c r="BA21" s="3">
        <v>249552</v>
      </c>
      <c r="BB21" s="3">
        <v>1103</v>
      </c>
      <c r="BC21" s="20">
        <f>Tabelle3[[#This Row],[KA (€)]]/Tabelle3[[#This Row],[KA (Backer)]]</f>
        <v>226.24841341795104</v>
      </c>
      <c r="BD21" s="831">
        <f>'Übersicht &amp; Anleitung'!AR68</f>
        <v>236347</v>
      </c>
      <c r="BE21" s="831">
        <f>'Übersicht &amp; Anleitung'!AS68</f>
        <v>1245</v>
      </c>
      <c r="BF21" s="20">
        <f>Tabelle3[[#This Row],[MAR (€)]]/Tabelle3[[#This Row],[MAR (Backer)]]</f>
        <v>189.83694779116465</v>
      </c>
      <c r="BQ21" s="834" t="s">
        <v>151</v>
      </c>
      <c r="BR21" s="6">
        <f t="shared" si="62"/>
        <v>332813.82800683234</v>
      </c>
      <c r="BS21" s="6">
        <f t="shared" si="63"/>
        <v>1742.3717409587889</v>
      </c>
      <c r="BT21" s="21">
        <f t="shared" ref="BT21" si="123">BR21/BS21</f>
        <v>191.01195237687463</v>
      </c>
      <c r="BU21" s="6">
        <f t="shared" si="65"/>
        <v>468285.50324999419</v>
      </c>
      <c r="BV21" s="6">
        <f t="shared" si="66"/>
        <v>2536.9811320754716</v>
      </c>
      <c r="BW21" s="21">
        <f t="shared" ref="BW21" si="124">BU21/BV21</f>
        <v>184.58375481369697</v>
      </c>
      <c r="BX21" s="3">
        <f t="shared" ref="BX21" si="125">AVERAGE(BR21,BU21)</f>
        <v>400549.66562841326</v>
      </c>
      <c r="BY21" s="3">
        <f t="shared" ref="BY21" si="126">AVERAGE(BS21,BV21)</f>
        <v>2139.6764365171302</v>
      </c>
      <c r="BZ21" s="21">
        <f t="shared" ref="BZ21" si="127">BX21/BY21</f>
        <v>187.20104535076814</v>
      </c>
      <c r="CA21" s="3">
        <f t="shared" si="71"/>
        <v>382904.94708690129</v>
      </c>
      <c r="CB21" s="3">
        <f t="shared" si="72"/>
        <v>2025.8029138980401</v>
      </c>
      <c r="CC21" s="21">
        <f t="shared" ref="CC21" si="128">CA21/CB21</f>
        <v>189.01391860974149</v>
      </c>
      <c r="CE21" s="834" t="s">
        <v>151</v>
      </c>
      <c r="CF21" s="14">
        <f t="shared" si="74"/>
        <v>1.4081576157380138</v>
      </c>
      <c r="CG21" s="14">
        <f t="shared" si="53"/>
        <v>1.3994953742640874</v>
      </c>
      <c r="CH21" s="253">
        <f t="shared" si="75"/>
        <v>1.9813473547368665</v>
      </c>
      <c r="CI21" s="253">
        <f t="shared" si="54"/>
        <v>2.0377358490566038</v>
      </c>
      <c r="CJ21" s="253">
        <f t="shared" si="76"/>
        <v>1.6200964983135022</v>
      </c>
      <c r="CK21" s="253">
        <f t="shared" si="55"/>
        <v>1.6271509348578634</v>
      </c>
      <c r="CL21" s="253">
        <f t="shared" si="56"/>
        <v>0.57318973899885273</v>
      </c>
      <c r="CM21" s="253">
        <f t="shared" si="3"/>
        <v>0.63824047479251633</v>
      </c>
      <c r="CN21" s="15">
        <f t="shared" si="4"/>
        <v>1.6856378089006652</v>
      </c>
      <c r="CO21" s="7">
        <f t="shared" si="5"/>
        <v>1.7979274611398963</v>
      </c>
      <c r="CP21" s="10">
        <f t="shared" si="6"/>
        <v>1.9813473547368665</v>
      </c>
      <c r="CQ21" s="11">
        <f t="shared" si="7"/>
        <v>2.0377358490566038</v>
      </c>
      <c r="CR21" s="10">
        <f t="shared" si="8"/>
        <v>1.7351794181185647</v>
      </c>
      <c r="CS21" s="25">
        <f t="shared" si="9"/>
        <v>1.6658227848101266</v>
      </c>
      <c r="CT21" s="10">
        <f t="shared" si="10"/>
        <v>1.6597993286362462</v>
      </c>
      <c r="CU21" s="25">
        <f t="shared" si="11"/>
        <v>1.5980707395498392</v>
      </c>
      <c r="CV21" s="10">
        <f t="shared" si="12"/>
        <v>1.4081576157380138</v>
      </c>
      <c r="CW21" s="25">
        <f t="shared" si="13"/>
        <v>1.3994953742640874</v>
      </c>
      <c r="CX21" s="10">
        <f t="shared" si="14"/>
        <v>1.760118811524177</v>
      </c>
      <c r="CY21" s="25">
        <f t="shared" si="15"/>
        <v>1.6987704918032787</v>
      </c>
      <c r="CZ21" s="10">
        <f t="shared" si="16"/>
        <v>1.6177467722656005</v>
      </c>
      <c r="DA21" s="25">
        <f t="shared" si="17"/>
        <v>1.6304347826086956</v>
      </c>
      <c r="DB21" s="10">
        <f t="shared" si="18"/>
        <v>1.7416558235240718</v>
      </c>
      <c r="DC21" s="25">
        <f t="shared" si="19"/>
        <v>1.7867036011080333</v>
      </c>
      <c r="DD21" s="10">
        <f t="shared" si="20"/>
        <v>1.4700405078432972</v>
      </c>
      <c r="DE21" s="25">
        <f t="shared" si="21"/>
        <v>1.4775725593667546</v>
      </c>
      <c r="DF21" s="10">
        <f t="shared" si="22"/>
        <v>1.7601243080508886</v>
      </c>
      <c r="DG21" s="25">
        <f t="shared" si="23"/>
        <v>1.7467532467532467</v>
      </c>
      <c r="DH21" s="10">
        <f t="shared" si="24"/>
        <v>1.8588999612137125</v>
      </c>
      <c r="DI21" s="25">
        <f t="shared" si="25"/>
        <v>1.8205128205128205</v>
      </c>
      <c r="DJ21" s="10">
        <f t="shared" si="26"/>
        <v>1.4741725571360917</v>
      </c>
      <c r="DK21" s="25">
        <f t="shared" si="27"/>
        <v>1.4929032258064516</v>
      </c>
      <c r="DL21" s="10">
        <f t="shared" si="97"/>
        <v>1.5477979338638723</v>
      </c>
      <c r="DM21" s="25">
        <f t="shared" si="98"/>
        <v>1.5740740740740742</v>
      </c>
      <c r="DN21" s="10">
        <f t="shared" si="28"/>
        <v>1.6252185718738279</v>
      </c>
      <c r="DO21" s="25">
        <f t="shared" si="29"/>
        <v>1.6293007769145393</v>
      </c>
      <c r="DP21" s="10">
        <f t="shared" si="30"/>
        <v>1.4678982639090223</v>
      </c>
      <c r="DQ21" s="25">
        <f t="shared" si="31"/>
        <v>1.50682261208577</v>
      </c>
      <c r="DR21" s="10">
        <f t="shared" si="57"/>
        <v>1.463237267917318</v>
      </c>
      <c r="DS21" s="25">
        <f t="shared" si="32"/>
        <v>1.4380032206119162</v>
      </c>
      <c r="DT21" s="10">
        <f t="shared" si="58"/>
        <v>1.6402663526086443</v>
      </c>
      <c r="DU21" s="25">
        <f t="shared" si="59"/>
        <v>1.6584699453551912</v>
      </c>
      <c r="DV21" s="10">
        <f t="shared" si="33"/>
        <v>1.4309432102327371</v>
      </c>
      <c r="DW21" s="25">
        <f t="shared" si="34"/>
        <v>1.4696282864913872</v>
      </c>
      <c r="DX21" s="16"/>
      <c r="DY21" s="18">
        <f t="shared" si="35"/>
        <v>-0.11228965223923115</v>
      </c>
      <c r="DZ21" s="26"/>
      <c r="EA21" s="27">
        <f t="shared" si="36"/>
        <v>-5.6388494319737248E-2</v>
      </c>
      <c r="EB21" s="19"/>
      <c r="EC21" s="17">
        <f t="shared" si="37"/>
        <v>6.9356633308438109E-2</v>
      </c>
      <c r="ED21" s="19"/>
      <c r="EE21" s="17">
        <f t="shared" si="38"/>
        <v>6.1728589086406993E-2</v>
      </c>
      <c r="EF21" s="19"/>
      <c r="EG21" s="17">
        <f t="shared" si="39"/>
        <v>8.6622414739263576E-3</v>
      </c>
      <c r="EH21" s="19"/>
      <c r="EI21" s="17">
        <f t="shared" si="40"/>
        <v>6.1348319720898381E-2</v>
      </c>
      <c r="EJ21" s="19"/>
      <c r="EK21" s="17">
        <f t="shared" si="41"/>
        <v>-1.268801034309508E-2</v>
      </c>
      <c r="EL21" s="19"/>
      <c r="EM21" s="17">
        <f t="shared" si="42"/>
        <v>-4.5047777583961501E-2</v>
      </c>
      <c r="EN21" s="19"/>
      <c r="EO21" s="17">
        <f t="shared" si="43"/>
        <v>-7.5320515234573726E-3</v>
      </c>
      <c r="EP21" s="19"/>
      <c r="EQ21" s="17">
        <f t="shared" si="44"/>
        <v>1.3371061297641873E-2</v>
      </c>
      <c r="ER21" s="19"/>
      <c r="ES21" s="17">
        <f t="shared" si="45"/>
        <v>3.8387140700891997E-2</v>
      </c>
      <c r="ET21" s="19"/>
      <c r="EU21" s="17">
        <f t="shared" si="46"/>
        <v>-1.8730668670359885E-2</v>
      </c>
      <c r="EV21" s="19"/>
      <c r="EW21" s="17">
        <f t="shared" si="47"/>
        <v>-2.6276140210201859E-2</v>
      </c>
      <c r="EX21" s="19"/>
      <c r="EY21" s="17">
        <f t="shared" si="48"/>
        <v>-4.0822050407114396E-3</v>
      </c>
      <c r="EZ21" s="19"/>
      <c r="FA21" s="17">
        <f t="shared" si="49"/>
        <v>-3.8924348176747614E-2</v>
      </c>
      <c r="FB21" s="19"/>
      <c r="FC21" s="18">
        <f t="shared" si="50"/>
        <v>2.5234047305401797E-2</v>
      </c>
      <c r="FD21" s="19"/>
      <c r="FE21" s="18">
        <f t="shared" si="60"/>
        <v>-1.8203592746546926E-2</v>
      </c>
      <c r="FF21" s="19"/>
      <c r="FG21" s="18">
        <f t="shared" si="61"/>
        <v>-3.8685076258650142E-2</v>
      </c>
    </row>
    <row r="22" spans="1:163" ht="15.75" hidden="1" outlineLevel="1" thickBot="1" x14ac:dyDescent="0.3">
      <c r="A22" s="832">
        <v>13</v>
      </c>
      <c r="B22" s="3">
        <v>37704</v>
      </c>
      <c r="C22" s="3">
        <v>197</v>
      </c>
      <c r="D22" s="20">
        <f>IFERROR(Tabelle3[[#This Row],[Ned (€)]]/Tabelle3[[#This Row],[Ned (Backer)]],"")</f>
        <v>191.39086294416245</v>
      </c>
      <c r="E22" s="3">
        <v>89062</v>
      </c>
      <c r="F22" s="3">
        <v>386</v>
      </c>
      <c r="G22" s="20">
        <f>Tabelle3[[#This Row],[Werkzeuge (€)]]/Tabelle3[[#This Row],[Werkzeuge (Backer)]]</f>
        <v>230.73056994818654</v>
      </c>
      <c r="H22" s="3">
        <v>74079</v>
      </c>
      <c r="I22" s="3">
        <v>410</v>
      </c>
      <c r="J22" s="20">
        <f>Tabelle3[[#This Row],[DSK Fasar (€)]]/Tabelle3[[#This Row],[DSK Fasar (Backer)]]</f>
        <v>180.68048780487806</v>
      </c>
      <c r="K22" s="3">
        <v>55585</v>
      </c>
      <c r="L22" s="3">
        <v>319</v>
      </c>
      <c r="M22" s="20">
        <f>Tabelle3[[#This Row],[Mythen (€)]]/Tabelle3[[#This Row],[Mythen (Backer)]]</f>
        <v>174.24764890282131</v>
      </c>
      <c r="N22" s="3">
        <v>172436</v>
      </c>
      <c r="O22" s="3">
        <v>1205</v>
      </c>
      <c r="P22" s="358">
        <f>Tabelle3[[#This Row],[SOK (€)]]/Tabelle3[[#This Row],[SOK (Backer)]]</f>
        <v>143.10041493775933</v>
      </c>
      <c r="Q22" s="3">
        <v>229701</v>
      </c>
      <c r="R22" s="3">
        <v>1011</v>
      </c>
      <c r="S22" s="20">
        <f>Tabelle3[[#This Row],[RE (€)]]/Tabelle3[[#This Row],[RE (Backer)]]</f>
        <v>227.20178041543028</v>
      </c>
      <c r="T22" s="3">
        <v>149744</v>
      </c>
      <c r="U22" s="3">
        <v>624</v>
      </c>
      <c r="V22" s="20">
        <f>Tabelle3[[#This Row],[DGG (€)]]/Tabelle3[[#This Row],[DGG (Backer)]]</f>
        <v>239.97435897435898</v>
      </c>
      <c r="W22" s="3">
        <v>68288</v>
      </c>
      <c r="X22" s="3">
        <v>375</v>
      </c>
      <c r="Y22" s="20">
        <f>Tabelle3[[#This Row],[DSK SV (€)]]/Tabelle3[[#This Row],[DSK SV (Backer)]]</f>
        <v>182.10133333333334</v>
      </c>
      <c r="Z22" s="3">
        <v>224732</v>
      </c>
      <c r="AA22" s="3">
        <v>1159</v>
      </c>
      <c r="AB22" s="20">
        <f>Tabelle3[[#This Row],[WW (€)]]/Tabelle3[[#This Row],[WW (Backer)]]</f>
        <v>193.90163934426229</v>
      </c>
      <c r="AC22" s="3">
        <v>20809</v>
      </c>
      <c r="AD22" s="3">
        <v>155</v>
      </c>
      <c r="AE22" s="20">
        <f>Tabelle3[[#This Row],[DSK R (€)]]/Tabelle3[[#This Row],[DSK R (Backer)]]</f>
        <v>134.2516129032258</v>
      </c>
      <c r="AF22" s="3">
        <v>139930</v>
      </c>
      <c r="AG22" s="3">
        <v>656</v>
      </c>
      <c r="AH22" s="20">
        <f>Tabelle3[[#This Row],[Ära (€)]]/Tabelle3[[#This Row],[Ära (Backer)]]</f>
        <v>213.3079268292683</v>
      </c>
      <c r="AI22" s="3">
        <v>57853</v>
      </c>
      <c r="AJ22" s="3">
        <v>789</v>
      </c>
      <c r="AK22" s="20">
        <f>Tabelle3[[#This Row],[Mosaik (€)]]/Tabelle3[[#This Row],[Mosaik (Backer)]]</f>
        <v>73.324461343472748</v>
      </c>
      <c r="AL22" s="3">
        <v>42073</v>
      </c>
      <c r="AM22" s="3">
        <v>282</v>
      </c>
      <c r="AN22" s="20">
        <f>Tabelle3[[#This Row],[DSK ES (€)]]/Tabelle3[[#This Row],[DSK ES (Backer)]]</f>
        <v>149.1950354609929</v>
      </c>
      <c r="AO22" s="3">
        <v>195413</v>
      </c>
      <c r="AP22" s="3">
        <v>929</v>
      </c>
      <c r="AQ22" s="20">
        <f>Tabelle3[[#This Row],[ES (€)]]/Tabelle3[[#This Row],[ES (Backer)]]</f>
        <v>210.34768568353067</v>
      </c>
      <c r="AR22" s="3">
        <v>241976.2</v>
      </c>
      <c r="AS22" s="3">
        <v>1068</v>
      </c>
      <c r="AT22" s="20">
        <f>Tabelle3[[#This Row],[WF (€)]]/Tabelle3[[#This Row],[WF(Backer)]]</f>
        <v>226.56947565543072</v>
      </c>
      <c r="AU22" s="3">
        <v>390522</v>
      </c>
      <c r="AV22" s="3">
        <v>1895</v>
      </c>
      <c r="AW22" s="20">
        <f>Tabelle3[[#This Row],[AKM (€)]]/Tabelle3[[#This Row],[AKM(Backer)]]</f>
        <v>206.0802110817942</v>
      </c>
      <c r="AX22" s="3">
        <v>218189</v>
      </c>
      <c r="AY22" s="3">
        <v>753</v>
      </c>
      <c r="AZ22" s="20">
        <f>Tabelle3[[#This Row],[Lex (€)]]/Tabelle3[[#This Row],[Lex(Backer)]]</f>
        <v>289.75962815405046</v>
      </c>
      <c r="BA22" s="3">
        <v>254467</v>
      </c>
      <c r="BB22" s="3">
        <v>1127</v>
      </c>
      <c r="BC22" s="20">
        <f>Tabelle3[[#This Row],[KA (€)]]/Tabelle3[[#This Row],[KA (Backer)]]</f>
        <v>225.79148181011536</v>
      </c>
      <c r="BD22" s="831">
        <f>'Übersicht &amp; Anleitung'!AR69</f>
        <v>240841</v>
      </c>
      <c r="BE22" s="831">
        <f>'Übersicht &amp; Anleitung'!AS69</f>
        <v>1267</v>
      </c>
      <c r="BF22" s="20">
        <f>Tabelle3[[#This Row],[MAR (€)]]/Tabelle3[[#This Row],[MAR (Backer)]]</f>
        <v>190.08760852407261</v>
      </c>
      <c r="BQ22" s="834" t="s">
        <v>152</v>
      </c>
      <c r="BR22" s="6">
        <f t="shared" si="62"/>
        <v>333918.34510775015</v>
      </c>
      <c r="BS22" s="6">
        <f t="shared" si="63"/>
        <v>1749.6165975103734</v>
      </c>
      <c r="BT22" s="21">
        <f t="shared" ref="BT22:BT23" si="129">BR22/BS22</f>
        <v>190.85229620186567</v>
      </c>
      <c r="BU22" s="6">
        <f t="shared" si="65"/>
        <v>461608.76177269768</v>
      </c>
      <c r="BV22" s="6">
        <f t="shared" si="66"/>
        <v>2481.481865284974</v>
      </c>
      <c r="BW22" s="21">
        <f t="shared" ref="BW22:BW23" si="130">BU22/BV22</f>
        <v>186.0214125399971</v>
      </c>
      <c r="BX22" s="3">
        <f t="shared" ref="BX22:BX23" si="131">AVERAGE(BR22,BU22)</f>
        <v>397763.55344022391</v>
      </c>
      <c r="BY22" s="3">
        <f t="shared" ref="BY22:BY23" si="132">AVERAGE(BS22,BV22)</f>
        <v>2115.5492313976738</v>
      </c>
      <c r="BZ22" s="21">
        <f t="shared" ref="BZ22:BZ23" si="133">BX22/BY22</f>
        <v>188.01904845175105</v>
      </c>
      <c r="CA22" s="3">
        <f t="shared" si="71"/>
        <v>379886.5644579081</v>
      </c>
      <c r="CB22" s="3">
        <f t="shared" si="72"/>
        <v>2005.7930365754751</v>
      </c>
      <c r="CC22" s="21">
        <f t="shared" ref="CC22:CC23" si="134">CA22/CB22</f>
        <v>189.39469702541942</v>
      </c>
      <c r="CE22" s="834" t="s">
        <v>152</v>
      </c>
      <c r="CF22" s="14">
        <f t="shared" si="74"/>
        <v>1.3864680229186481</v>
      </c>
      <c r="CG22" s="14">
        <f t="shared" si="53"/>
        <v>1.3809128630705394</v>
      </c>
      <c r="CH22" s="253">
        <f t="shared" si="75"/>
        <v>1.916653567177921</v>
      </c>
      <c r="CI22" s="253">
        <f t="shared" si="54"/>
        <v>1.9585492227979275</v>
      </c>
      <c r="CJ22" s="253">
        <f t="shared" si="76"/>
        <v>1.5773334459577402</v>
      </c>
      <c r="CK22" s="253">
        <f t="shared" si="55"/>
        <v>1.5831042119774863</v>
      </c>
      <c r="CL22" s="253">
        <f t="shared" si="56"/>
        <v>0.53018554425927289</v>
      </c>
      <c r="CM22" s="253">
        <f t="shared" si="3"/>
        <v>0.57763635972738814</v>
      </c>
      <c r="CN22" s="15">
        <f t="shared" si="4"/>
        <v>1.6535380861447062</v>
      </c>
      <c r="CO22" s="7">
        <f t="shared" si="5"/>
        <v>1.7614213197969544</v>
      </c>
      <c r="CP22" s="10">
        <f t="shared" si="6"/>
        <v>1.916653567177921</v>
      </c>
      <c r="CQ22" s="11">
        <f t="shared" si="7"/>
        <v>1.9585492227979275</v>
      </c>
      <c r="CR22" s="10">
        <f t="shared" si="8"/>
        <v>1.6697579610955871</v>
      </c>
      <c r="CS22" s="25">
        <f t="shared" si="9"/>
        <v>1.6048780487804879</v>
      </c>
      <c r="CT22" s="10">
        <f t="shared" si="10"/>
        <v>1.6189799406314653</v>
      </c>
      <c r="CU22" s="25">
        <f t="shared" si="11"/>
        <v>1.5579937304075235</v>
      </c>
      <c r="CV22" s="10">
        <f t="shared" si="12"/>
        <v>1.3864680229186481</v>
      </c>
      <c r="CW22" s="25">
        <f t="shared" si="13"/>
        <v>1.3809128630705394</v>
      </c>
      <c r="CX22" s="10">
        <f t="shared" si="14"/>
        <v>1.7000666083299594</v>
      </c>
      <c r="CY22" s="25">
        <f t="shared" si="15"/>
        <v>1.6399604352126607</v>
      </c>
      <c r="CZ22" s="10">
        <f t="shared" si="16"/>
        <v>1.5455043273854043</v>
      </c>
      <c r="DA22" s="25">
        <f t="shared" si="17"/>
        <v>1.5625</v>
      </c>
      <c r="DB22" s="10">
        <f t="shared" si="18"/>
        <v>1.6856988050609185</v>
      </c>
      <c r="DC22" s="25">
        <f t="shared" si="19"/>
        <v>1.72</v>
      </c>
      <c r="DD22" s="10">
        <f t="shared" si="20"/>
        <v>1.4436528843244398</v>
      </c>
      <c r="DE22" s="25">
        <f t="shared" si="21"/>
        <v>1.4495254529767041</v>
      </c>
      <c r="DF22" s="10">
        <f t="shared" si="22"/>
        <v>1.7419385842664232</v>
      </c>
      <c r="DG22" s="25">
        <f t="shared" si="23"/>
        <v>1.735483870967742</v>
      </c>
      <c r="DH22" s="10">
        <f t="shared" si="24"/>
        <v>1.781026227399414</v>
      </c>
      <c r="DI22" s="25">
        <f t="shared" si="25"/>
        <v>1.7317073170731707</v>
      </c>
      <c r="DJ22" s="10">
        <f t="shared" si="26"/>
        <v>1.4527682229097887</v>
      </c>
      <c r="DK22" s="25">
        <f t="shared" si="27"/>
        <v>1.4664131812420786</v>
      </c>
      <c r="DL22" s="10">
        <f t="shared" si="97"/>
        <v>1.4885318375205001</v>
      </c>
      <c r="DM22" s="25">
        <f t="shared" si="98"/>
        <v>1.5070921985815602</v>
      </c>
      <c r="DN22" s="10">
        <f t="shared" si="28"/>
        <v>1.5743527810329916</v>
      </c>
      <c r="DO22" s="25">
        <f t="shared" si="29"/>
        <v>1.580193756727664</v>
      </c>
      <c r="DP22" s="10">
        <f t="shared" si="30"/>
        <v>1.4133894159838858</v>
      </c>
      <c r="DQ22" s="25">
        <f t="shared" si="31"/>
        <v>1.4475655430711611</v>
      </c>
      <c r="DR22" s="10">
        <f t="shared" si="57"/>
        <v>1.4354541869600175</v>
      </c>
      <c r="DS22" s="25">
        <f t="shared" si="32"/>
        <v>1.4137203166226913</v>
      </c>
      <c r="DT22" s="10">
        <f t="shared" si="58"/>
        <v>1.5958070296852727</v>
      </c>
      <c r="DU22" s="25">
        <f t="shared" si="59"/>
        <v>1.6122177954847277</v>
      </c>
      <c r="DV22" s="10">
        <f t="shared" si="33"/>
        <v>1.4033047114164114</v>
      </c>
      <c r="DW22" s="25">
        <f t="shared" si="34"/>
        <v>1.4383318544809227</v>
      </c>
      <c r="DX22" s="16"/>
      <c r="DY22" s="18">
        <f t="shared" si="35"/>
        <v>-0.10788323365224817</v>
      </c>
      <c r="DZ22" s="26"/>
      <c r="EA22" s="27">
        <f t="shared" si="36"/>
        <v>-4.1895655620006522E-2</v>
      </c>
      <c r="EB22" s="19"/>
      <c r="EC22" s="17">
        <f t="shared" si="37"/>
        <v>6.4879912315099153E-2</v>
      </c>
      <c r="ED22" s="19"/>
      <c r="EE22" s="17">
        <f t="shared" si="38"/>
        <v>6.0986210223941795E-2</v>
      </c>
      <c r="EF22" s="19"/>
      <c r="EG22" s="17">
        <f t="shared" si="39"/>
        <v>5.5551598481087261E-3</v>
      </c>
      <c r="EH22" s="19"/>
      <c r="EI22" s="17">
        <f t="shared" si="40"/>
        <v>6.0106173117298711E-2</v>
      </c>
      <c r="EJ22" s="19"/>
      <c r="EK22" s="17">
        <f t="shared" si="41"/>
        <v>-1.6995672614595669E-2</v>
      </c>
      <c r="EL22" s="19"/>
      <c r="EM22" s="17">
        <f t="shared" si="42"/>
        <v>-3.4301194939081459E-2</v>
      </c>
      <c r="EN22" s="19"/>
      <c r="EO22" s="17">
        <f t="shared" si="43"/>
        <v>-5.8725686522642651E-3</v>
      </c>
      <c r="EP22" s="19"/>
      <c r="EQ22" s="17">
        <f t="shared" si="44"/>
        <v>6.4547132986811917E-3</v>
      </c>
      <c r="ER22" s="19"/>
      <c r="ES22" s="17">
        <f t="shared" si="45"/>
        <v>4.9318910326243248E-2</v>
      </c>
      <c r="ET22" s="19"/>
      <c r="EU22" s="17">
        <f t="shared" si="46"/>
        <v>-1.3644958332289958E-2</v>
      </c>
      <c r="EV22" s="19"/>
      <c r="EW22" s="17">
        <f t="shared" si="47"/>
        <v>-1.8560361061060071E-2</v>
      </c>
      <c r="EX22" s="19"/>
      <c r="EY22" s="17">
        <f t="shared" si="48"/>
        <v>-5.8409756946724567E-3</v>
      </c>
      <c r="EZ22" s="19"/>
      <c r="FA22" s="17">
        <f t="shared" si="49"/>
        <v>-3.4176127087275354E-2</v>
      </c>
      <c r="FB22" s="19"/>
      <c r="FC22" s="18">
        <f t="shared" si="50"/>
        <v>2.1733870337326211E-2</v>
      </c>
      <c r="FD22" s="19"/>
      <c r="FE22" s="18">
        <f t="shared" si="60"/>
        <v>-1.6410765799454996E-2</v>
      </c>
      <c r="FF22" s="19"/>
      <c r="FG22" s="18">
        <f t="shared" si="61"/>
        <v>-3.5027143064511268E-2</v>
      </c>
    </row>
    <row r="23" spans="1:163" ht="15.75" hidden="1" outlineLevel="1" thickBot="1" x14ac:dyDescent="0.3">
      <c r="A23" s="832">
        <v>14</v>
      </c>
      <c r="B23" s="3">
        <v>38541</v>
      </c>
      <c r="C23" s="3">
        <v>205</v>
      </c>
      <c r="D23" s="20">
        <f>IFERROR(Tabelle3[[#This Row],[Ned (€)]]/Tabelle3[[#This Row],[Ned (Backer)]],"")</f>
        <v>188.00487804878048</v>
      </c>
      <c r="E23" s="3">
        <v>93109</v>
      </c>
      <c r="F23" s="3">
        <v>403</v>
      </c>
      <c r="G23" s="20">
        <f>Tabelle3[[#This Row],[Werkzeuge (€)]]/Tabelle3[[#This Row],[Werkzeuge (Backer)]]</f>
        <v>231.03970223325061</v>
      </c>
      <c r="H23" s="3">
        <v>75411</v>
      </c>
      <c r="I23" s="3">
        <v>417</v>
      </c>
      <c r="J23" s="20">
        <f>Tabelle3[[#This Row],[DSK Fasar (€)]]/Tabelle3[[#This Row],[DSK Fasar (Backer)]]</f>
        <v>180.84172661870502</v>
      </c>
      <c r="K23" s="3">
        <v>57658</v>
      </c>
      <c r="L23" s="3">
        <v>330</v>
      </c>
      <c r="M23" s="20">
        <f>Tabelle3[[#This Row],[Mythen (€)]]/Tabelle3[[#This Row],[Mythen (Backer)]]</f>
        <v>174.72121212121212</v>
      </c>
      <c r="N23" s="3">
        <v>176629</v>
      </c>
      <c r="O23" s="3">
        <v>1232</v>
      </c>
      <c r="P23" s="20">
        <f>Tabelle3[[#This Row],[SOK (€)]]/Tabelle3[[#This Row],[SOK (Backer)]]</f>
        <v>143.36769480519482</v>
      </c>
      <c r="Q23" s="3">
        <v>240791</v>
      </c>
      <c r="R23" s="3">
        <v>1060</v>
      </c>
      <c r="S23" s="20">
        <f>Tabelle3[[#This Row],[RE (€)]]/Tabelle3[[#This Row],[RE (Backer)]]</f>
        <v>227.16132075471697</v>
      </c>
      <c r="T23" s="3">
        <v>155980</v>
      </c>
      <c r="U23" s="3">
        <v>650</v>
      </c>
      <c r="V23" s="20">
        <f>Tabelle3[[#This Row],[DGG (€)]]/Tabelle3[[#This Row],[DGG (Backer)]]</f>
        <v>239.96923076923076</v>
      </c>
      <c r="W23" s="3">
        <v>71648</v>
      </c>
      <c r="X23" s="3">
        <v>395</v>
      </c>
      <c r="Y23" s="20">
        <f>Tabelle3[[#This Row],[DSK SV (€)]]/Tabelle3[[#This Row],[DSK SV (Backer)]]</f>
        <v>181.3873417721519</v>
      </c>
      <c r="Z23" s="3">
        <v>232641</v>
      </c>
      <c r="AA23" s="3">
        <v>1207</v>
      </c>
      <c r="AB23" s="20">
        <f>Tabelle3[[#This Row],[WW (€)]]/Tabelle3[[#This Row],[WW (Backer)]]</f>
        <v>192.74316487158242</v>
      </c>
      <c r="AC23" s="3">
        <v>21426</v>
      </c>
      <c r="AD23" s="3">
        <v>159</v>
      </c>
      <c r="AE23" s="20">
        <f>Tabelle3[[#This Row],[DSK R (€)]]/Tabelle3[[#This Row],[DSK R (Backer)]]</f>
        <v>134.75471698113208</v>
      </c>
      <c r="AF23" s="3">
        <v>148846</v>
      </c>
      <c r="AG23" s="3">
        <v>696</v>
      </c>
      <c r="AH23" s="20">
        <f>Tabelle3[[#This Row],[Ära (€)]]/Tabelle3[[#This Row],[Ära (Backer)]]</f>
        <v>213.85919540229884</v>
      </c>
      <c r="AI23" s="3">
        <v>59064</v>
      </c>
      <c r="AJ23" s="3">
        <v>806</v>
      </c>
      <c r="AK23" s="20">
        <f>Tabelle3[[#This Row],[Mosaik (€)]]/Tabelle3[[#This Row],[Mosaik (Backer)]]</f>
        <v>73.280397022332508</v>
      </c>
      <c r="AL23" s="3">
        <v>43611</v>
      </c>
      <c r="AM23" s="3">
        <v>294</v>
      </c>
      <c r="AN23" s="20">
        <f>Tabelle3[[#This Row],[DSK ES (€)]]/Tabelle3[[#This Row],[DSK ES (Backer)]]</f>
        <v>148.33673469387756</v>
      </c>
      <c r="AO23" s="3">
        <v>204026</v>
      </c>
      <c r="AP23" s="3">
        <v>966</v>
      </c>
      <c r="AQ23" s="20">
        <f>Tabelle3[[#This Row],[ES (€)]]/Tabelle3[[#This Row],[ES (Backer)]]</f>
        <v>211.20703933747413</v>
      </c>
      <c r="AR23" s="3">
        <v>253405.41</v>
      </c>
      <c r="AS23" s="3">
        <v>1115</v>
      </c>
      <c r="AT23" s="20">
        <f>Tabelle3[[#This Row],[WF (€)]]/Tabelle3[[#This Row],[WF(Backer)]]</f>
        <v>227.26942600896862</v>
      </c>
      <c r="AU23" s="3">
        <v>398145</v>
      </c>
      <c r="AV23" s="3">
        <v>1928</v>
      </c>
      <c r="AW23" s="20">
        <f>Tabelle3[[#This Row],[AKM (€)]]/Tabelle3[[#This Row],[AKM(Backer)]]</f>
        <v>206.50674273858922</v>
      </c>
      <c r="AX23" s="3">
        <v>230035</v>
      </c>
      <c r="AY23" s="3">
        <v>796</v>
      </c>
      <c r="AZ23" s="20">
        <f>Tabelle3[[#This Row],[Lex (€)]]/Tabelle3[[#This Row],[Lex(Backer)]]</f>
        <v>288.9886934673367</v>
      </c>
      <c r="BA23" s="3">
        <v>262458</v>
      </c>
      <c r="BB23" s="3">
        <v>1165</v>
      </c>
      <c r="BC23" s="20">
        <f>Tabelle3[[#This Row],[KA (€)]]/Tabelle3[[#This Row],[KA (Backer)]]</f>
        <v>225.28583690987125</v>
      </c>
      <c r="BD23" s="831">
        <f>'Übersicht &amp; Anleitung'!AR70</f>
        <v>249899</v>
      </c>
      <c r="BE23" s="831">
        <f>'Übersicht &amp; Anleitung'!AS70</f>
        <v>1314</v>
      </c>
      <c r="BF23" s="20">
        <f>Tabelle3[[#This Row],[MAR (€)]]/Tabelle3[[#This Row],[MAR (Backer)]]</f>
        <v>190.18188736681887</v>
      </c>
      <c r="BQ23" s="834" t="s">
        <v>153</v>
      </c>
      <c r="BR23" s="6">
        <f t="shared" si="62"/>
        <v>337274.20157841145</v>
      </c>
      <c r="BS23" s="6">
        <f t="shared" si="63"/>
        <v>1774.7532467532467</v>
      </c>
      <c r="BT23" s="21">
        <f t="shared" si="129"/>
        <v>190.04005328370275</v>
      </c>
      <c r="BU23" s="6">
        <f t="shared" si="65"/>
        <v>458151.29793038266</v>
      </c>
      <c r="BV23" s="6">
        <f t="shared" si="66"/>
        <v>2464.9727047146403</v>
      </c>
      <c r="BW23" s="21">
        <f t="shared" si="130"/>
        <v>185.86465361425613</v>
      </c>
      <c r="BX23" s="3">
        <f t="shared" si="131"/>
        <v>397712.74975439708</v>
      </c>
      <c r="BY23" s="3">
        <f t="shared" si="132"/>
        <v>2119.8629757339436</v>
      </c>
      <c r="BZ23" s="21">
        <f t="shared" si="133"/>
        <v>187.61247981922045</v>
      </c>
      <c r="CA23" s="3">
        <f t="shared" si="71"/>
        <v>380576.46134563477</v>
      </c>
      <c r="CB23" s="3">
        <f t="shared" si="72"/>
        <v>2006.4609539365658</v>
      </c>
      <c r="CC23" s="21">
        <f t="shared" si="134"/>
        <v>189.67548837617036</v>
      </c>
      <c r="CE23" s="834" t="s">
        <v>153</v>
      </c>
      <c r="CF23" s="14">
        <f t="shared" si="74"/>
        <v>1.3496420617065752</v>
      </c>
      <c r="CG23" s="14">
        <f t="shared" si="53"/>
        <v>1.3506493506493507</v>
      </c>
      <c r="CH23" s="253">
        <f t="shared" si="75"/>
        <v>1.8333458634503645</v>
      </c>
      <c r="CI23" s="253">
        <f t="shared" si="54"/>
        <v>1.8759305210918114</v>
      </c>
      <c r="CJ23" s="253">
        <f t="shared" si="76"/>
        <v>1.5229211055091647</v>
      </c>
      <c r="CK23" s="253">
        <f t="shared" si="55"/>
        <v>1.5269870273489847</v>
      </c>
      <c r="CL23" s="253">
        <f t="shared" si="56"/>
        <v>0.48370380174378935</v>
      </c>
      <c r="CM23" s="253">
        <f t="shared" si="3"/>
        <v>0.5252811704424607</v>
      </c>
      <c r="CN23" s="15">
        <f t="shared" si="4"/>
        <v>1.6176279805920968</v>
      </c>
      <c r="CO23" s="7">
        <f t="shared" si="5"/>
        <v>1.6926829268292682</v>
      </c>
      <c r="CP23" s="10">
        <f t="shared" si="6"/>
        <v>1.8333458634503645</v>
      </c>
      <c r="CQ23" s="11">
        <f t="shared" si="7"/>
        <v>1.8759305210918114</v>
      </c>
      <c r="CR23" s="10">
        <f t="shared" si="8"/>
        <v>1.6402646828711991</v>
      </c>
      <c r="CS23" s="25">
        <f t="shared" si="9"/>
        <v>1.5779376498800959</v>
      </c>
      <c r="CT23" s="10">
        <f t="shared" si="10"/>
        <v>1.5607721391654237</v>
      </c>
      <c r="CU23" s="25">
        <f t="shared" si="11"/>
        <v>1.5060606060606061</v>
      </c>
      <c r="CV23" s="10">
        <f t="shared" si="12"/>
        <v>1.3535546257975757</v>
      </c>
      <c r="CW23" s="25">
        <f t="shared" si="13"/>
        <v>1.3506493506493507</v>
      </c>
      <c r="CX23" s="10">
        <f t="shared" si="14"/>
        <v>1.6217674248622249</v>
      </c>
      <c r="CY23" s="25">
        <f t="shared" si="15"/>
        <v>1.5641509433962264</v>
      </c>
      <c r="CZ23" s="10">
        <f t="shared" si="16"/>
        <v>1.4837158610078216</v>
      </c>
      <c r="DA23" s="25">
        <f t="shared" si="17"/>
        <v>1.5</v>
      </c>
      <c r="DB23" s="10">
        <f t="shared" si="18"/>
        <v>1.6066463823135329</v>
      </c>
      <c r="DC23" s="25">
        <f t="shared" si="19"/>
        <v>1.6329113924050633</v>
      </c>
      <c r="DD23" s="10">
        <f t="shared" si="20"/>
        <v>1.3945736134215378</v>
      </c>
      <c r="DE23" s="25">
        <f t="shared" si="21"/>
        <v>1.391880695940348</v>
      </c>
      <c r="DF23" s="10">
        <f t="shared" si="22"/>
        <v>1.6917763464949127</v>
      </c>
      <c r="DG23" s="25">
        <f t="shared" si="23"/>
        <v>1.6918238993710693</v>
      </c>
      <c r="DH23" s="10">
        <f t="shared" si="24"/>
        <v>1.6743412654690082</v>
      </c>
      <c r="DI23" s="25">
        <f t="shared" si="25"/>
        <v>1.632183908045977</v>
      </c>
      <c r="DJ23" s="10">
        <f t="shared" si="26"/>
        <v>1.4229818501963971</v>
      </c>
      <c r="DK23" s="25">
        <f t="shared" si="27"/>
        <v>1.435483870967742</v>
      </c>
      <c r="DL23" s="10">
        <f t="shared" si="97"/>
        <v>1.4360367797115408</v>
      </c>
      <c r="DM23" s="25">
        <f t="shared" si="98"/>
        <v>1.4455782312925169</v>
      </c>
      <c r="DN23" s="10">
        <f t="shared" si="28"/>
        <v>1.5078911511277975</v>
      </c>
      <c r="DO23" s="25">
        <f t="shared" si="29"/>
        <v>1.5196687370600415</v>
      </c>
      <c r="DP23" s="10">
        <f t="shared" si="30"/>
        <v>1.3496420617065752</v>
      </c>
      <c r="DQ23" s="25">
        <f t="shared" si="31"/>
        <v>1.3865470852017938</v>
      </c>
      <c r="DR23" s="10">
        <f t="shared" si="57"/>
        <v>1.4079705634881763</v>
      </c>
      <c r="DS23" s="25">
        <f t="shared" si="32"/>
        <v>1.3895228215767634</v>
      </c>
      <c r="DT23" s="10">
        <f t="shared" si="58"/>
        <v>1.5136285347881844</v>
      </c>
      <c r="DU23" s="25">
        <f t="shared" si="59"/>
        <v>1.5251256281407035</v>
      </c>
      <c r="DV23" s="10">
        <f t="shared" si="33"/>
        <v>1.3605786068628123</v>
      </c>
      <c r="DW23" s="25">
        <f t="shared" si="34"/>
        <v>1.3914163090128755</v>
      </c>
      <c r="DX23" s="16"/>
      <c r="DY23" s="18">
        <f t="shared" si="35"/>
        <v>-7.505494623717146E-2</v>
      </c>
      <c r="DZ23" s="26"/>
      <c r="EA23" s="27">
        <f t="shared" si="36"/>
        <v>-4.258465764144681E-2</v>
      </c>
      <c r="EB23" s="19"/>
      <c r="EC23" s="17">
        <f t="shared" si="37"/>
        <v>6.2327032991103204E-2</v>
      </c>
      <c r="ED23" s="19"/>
      <c r="EE23" s="17">
        <f t="shared" si="38"/>
        <v>5.4711533104817578E-2</v>
      </c>
      <c r="EF23" s="19"/>
      <c r="EG23" s="17">
        <f t="shared" si="39"/>
        <v>2.9052751482250283E-3</v>
      </c>
      <c r="EH23" s="19"/>
      <c r="EI23" s="17">
        <f t="shared" si="40"/>
        <v>5.7616481465998515E-2</v>
      </c>
      <c r="EJ23" s="19"/>
      <c r="EK23" s="17">
        <f t="shared" si="41"/>
        <v>-1.6284138992178399E-2</v>
      </c>
      <c r="EL23" s="19"/>
      <c r="EM23" s="17">
        <f t="shared" si="42"/>
        <v>-2.6265010091530483E-2</v>
      </c>
      <c r="EN23" s="19"/>
      <c r="EO23" s="17">
        <f t="shared" si="43"/>
        <v>2.6929174811898271E-3</v>
      </c>
      <c r="EP23" s="19"/>
      <c r="EQ23" s="17">
        <f t="shared" si="44"/>
        <v>-4.7552876156542467E-5</v>
      </c>
      <c r="ER23" s="19"/>
      <c r="ES23" s="17">
        <f t="shared" si="45"/>
        <v>4.2157357423031172E-2</v>
      </c>
      <c r="ET23" s="19"/>
      <c r="EU23" s="17">
        <f t="shared" si="46"/>
        <v>-1.2502020771344879E-2</v>
      </c>
      <c r="EV23" s="19"/>
      <c r="EW23" s="17">
        <f t="shared" si="47"/>
        <v>-9.5414515809761902E-3</v>
      </c>
      <c r="EX23" s="19"/>
      <c r="EY23" s="17">
        <f t="shared" si="48"/>
        <v>-1.1777585932243984E-2</v>
      </c>
      <c r="EZ23" s="19"/>
      <c r="FA23" s="17">
        <f t="shared" si="49"/>
        <v>-3.6905023495218625E-2</v>
      </c>
      <c r="FB23" s="19"/>
      <c r="FC23" s="18">
        <f t="shared" si="50"/>
        <v>1.8447741911412852E-2</v>
      </c>
      <c r="FD23" s="19"/>
      <c r="FE23" s="18">
        <f t="shared" si="60"/>
        <v>-1.1497093352519139E-2</v>
      </c>
      <c r="FF23" s="19"/>
      <c r="FG23" s="18">
        <f t="shared" si="61"/>
        <v>-3.0837702150063206E-2</v>
      </c>
    </row>
    <row r="24" spans="1:163" ht="15.75" hidden="1" outlineLevel="1" thickBot="1" x14ac:dyDescent="0.3">
      <c r="A24" s="832">
        <v>15</v>
      </c>
      <c r="B24" s="3">
        <v>40401</v>
      </c>
      <c r="C24" s="3">
        <v>214</v>
      </c>
      <c r="D24" s="20">
        <f>IFERROR(Tabelle3[[#This Row],[Ned (€)]]/Tabelle3[[#This Row],[Ned (Backer)]],"")</f>
        <v>188.78971962616822</v>
      </c>
      <c r="E24" s="3">
        <v>97466</v>
      </c>
      <c r="F24" s="3">
        <v>422</v>
      </c>
      <c r="G24" s="20">
        <f>Tabelle3[[#This Row],[Werkzeuge (€)]]/Tabelle3[[#This Row],[Werkzeuge (Backer)]]</f>
        <v>230.96208530805688</v>
      </c>
      <c r="H24" s="3">
        <v>77016</v>
      </c>
      <c r="I24" s="3">
        <v>427</v>
      </c>
      <c r="J24" s="20">
        <f>Tabelle3[[#This Row],[DSK Fasar (€)]]/Tabelle3[[#This Row],[DSK Fasar (Backer)]]</f>
        <v>180.36533957845432</v>
      </c>
      <c r="K24" s="3">
        <v>59154</v>
      </c>
      <c r="L24" s="3">
        <v>337</v>
      </c>
      <c r="M24" s="20">
        <f>Tabelle3[[#This Row],[Mythen (€)]]/Tabelle3[[#This Row],[Mythen (Backer)]]</f>
        <v>175.53115727002967</v>
      </c>
      <c r="N24" s="3">
        <v>188273</v>
      </c>
      <c r="O24" s="3">
        <v>1313</v>
      </c>
      <c r="P24" s="20">
        <f>Tabelle3[[#This Row],[SOK (€)]]/Tabelle3[[#This Row],[SOK (Backer)]]</f>
        <v>143.39146991622241</v>
      </c>
      <c r="Q24" s="3">
        <v>249000</v>
      </c>
      <c r="R24" s="3">
        <v>1096</v>
      </c>
      <c r="S24" s="20">
        <f>Tabelle3[[#This Row],[RE (€)]]/Tabelle3[[#This Row],[RE (Backer)]]</f>
        <v>227.1897810218978</v>
      </c>
      <c r="T24" s="3">
        <v>165152</v>
      </c>
      <c r="U24" s="3">
        <v>690</v>
      </c>
      <c r="V24" s="20">
        <f>Tabelle3[[#This Row],[DGG (€)]]/Tabelle3[[#This Row],[DGG (Backer)]]</f>
        <v>239.35072463768117</v>
      </c>
      <c r="W24" s="3">
        <v>75191</v>
      </c>
      <c r="X24" s="3">
        <v>415</v>
      </c>
      <c r="Y24" s="20">
        <f>Tabelle3[[#This Row],[DSK SV (€)]]/Tabelle3[[#This Row],[DSK SV (Backer)]]</f>
        <v>181.18313253012047</v>
      </c>
      <c r="Z24" s="3">
        <v>242719</v>
      </c>
      <c r="AA24" s="3">
        <v>1257</v>
      </c>
      <c r="AB24" s="358">
        <f>Tabelle3[[#This Row],[WW (€)]]/Tabelle3[[#This Row],[WW (Backer)]]</f>
        <v>193.09387430389816</v>
      </c>
      <c r="AC24" s="3">
        <v>22523</v>
      </c>
      <c r="AD24" s="3">
        <v>164</v>
      </c>
      <c r="AE24" s="20">
        <f>Tabelle3[[#This Row],[DSK R (€)]]/Tabelle3[[#This Row],[DSK R (Backer)]]</f>
        <v>137.33536585365854</v>
      </c>
      <c r="AF24" s="3">
        <v>159815</v>
      </c>
      <c r="AG24" s="3">
        <v>727</v>
      </c>
      <c r="AH24" s="358">
        <f>Tabelle3[[#This Row],[Ära (€)]]/Tabelle3[[#This Row],[Ära (Backer)]]</f>
        <v>219.82806052269601</v>
      </c>
      <c r="AI24" s="3">
        <v>60362</v>
      </c>
      <c r="AJ24" s="3">
        <v>825</v>
      </c>
      <c r="AK24" s="20">
        <f>Tabelle3[[#This Row],[Mosaik (€)]]/Tabelle3[[#This Row],[Mosaik (Backer)]]</f>
        <v>73.166060606060611</v>
      </c>
      <c r="AL24" s="3">
        <v>45951</v>
      </c>
      <c r="AM24" s="3">
        <v>308</v>
      </c>
      <c r="AN24" s="20">
        <f>Tabelle3[[#This Row],[DSK ES (€)]]/Tabelle3[[#This Row],[DSK ES (Backer)]]</f>
        <v>149.19155844155844</v>
      </c>
      <c r="AO24" s="3">
        <v>214753</v>
      </c>
      <c r="AP24" s="3">
        <v>1013</v>
      </c>
      <c r="AQ24" s="20">
        <f>Tabelle3[[#This Row],[ES (€)]]/Tabelle3[[#This Row],[ES (Backer)]]</f>
        <v>211.99703849950643</v>
      </c>
      <c r="AR24" s="3">
        <v>264609.71999999997</v>
      </c>
      <c r="AS24" s="3">
        <v>1170</v>
      </c>
      <c r="AT24" s="20">
        <f>Tabelle3[[#This Row],[WF (€)]]/Tabelle3[[#This Row],[WF(Backer)]]</f>
        <v>226.16215384615381</v>
      </c>
      <c r="AU24" s="3">
        <v>412178</v>
      </c>
      <c r="AV24" s="3">
        <v>1974</v>
      </c>
      <c r="AW24" s="20">
        <f>Tabelle3[[#This Row],[AKM (€)]]/Tabelle3[[#This Row],[AKM(Backer)]]</f>
        <v>208.80344478216819</v>
      </c>
      <c r="AX24" s="3">
        <v>255642</v>
      </c>
      <c r="AY24" s="3">
        <v>882</v>
      </c>
      <c r="AZ24" s="20">
        <f>Tabelle3[[#This Row],[Lex (€)]]/Tabelle3[[#This Row],[Lex(Backer)]]</f>
        <v>289.84353741496597</v>
      </c>
      <c r="BA24" s="3">
        <v>266895</v>
      </c>
      <c r="BB24" s="3">
        <v>1187</v>
      </c>
      <c r="BC24" s="20">
        <f>Tabelle3[[#This Row],[KA (€)]]/Tabelle3[[#This Row],[KA (Backer)]]</f>
        <v>224.84835720303286</v>
      </c>
      <c r="BD24" s="831">
        <f>'Übersicht &amp; Anleitung'!AR71</f>
        <v>260287</v>
      </c>
      <c r="BE24" s="831">
        <f>'Übersicht &amp; Anleitung'!AS71</f>
        <v>1376</v>
      </c>
      <c r="BF24" s="20">
        <f>Tabelle3[[#This Row],[MAR (€)]]/Tabelle3[[#This Row],[MAR (Backer)]]</f>
        <v>189.16206395348837</v>
      </c>
      <c r="BP24" s="167"/>
      <c r="BQ24" s="834" t="s">
        <v>154</v>
      </c>
      <c r="BR24" s="6">
        <f t="shared" si="62"/>
        <v>330523.41599167167</v>
      </c>
      <c r="BS24" s="6">
        <f t="shared" si="63"/>
        <v>1743.8415841584158</v>
      </c>
      <c r="BT24" s="21">
        <f t="shared" ref="BT24" si="135">BR24/BS24</f>
        <v>189.53752393236078</v>
      </c>
      <c r="BU24" s="6">
        <f t="shared" si="65"/>
        <v>455864.10837625427</v>
      </c>
      <c r="BV24" s="6">
        <f t="shared" si="66"/>
        <v>2465.0616113744077</v>
      </c>
      <c r="BW24" s="21">
        <f t="shared" ref="BW24" si="136">BU24/BV24</f>
        <v>184.93010733394405</v>
      </c>
      <c r="BX24" s="3">
        <f t="shared" ref="BX24" si="137">AVERAGE(BR24,BU24)</f>
        <v>393193.76218396297</v>
      </c>
      <c r="BY24" s="3">
        <f t="shared" ref="BY24" si="138">AVERAGE(BS24,BV24)</f>
        <v>2104.4515977664119</v>
      </c>
      <c r="BZ24" s="21">
        <f t="shared" ref="BZ24" si="139">BX24/BY24</f>
        <v>186.83906182555327</v>
      </c>
      <c r="CA24" s="3">
        <f t="shared" si="71"/>
        <v>379300.44081874168</v>
      </c>
      <c r="CB24" s="3">
        <f t="shared" si="72"/>
        <v>2014.5488121694707</v>
      </c>
      <c r="CC24" s="21">
        <f t="shared" ref="CC24" si="140">CA24/CB24</f>
        <v>188.28059093304989</v>
      </c>
      <c r="CD24" s="167"/>
      <c r="CE24" s="834" t="s">
        <v>154</v>
      </c>
      <c r="CF24" s="14">
        <f t="shared" si="74"/>
        <v>1.2698421972348664</v>
      </c>
      <c r="CG24" s="14">
        <f t="shared" si="53"/>
        <v>1.2673267326732673</v>
      </c>
      <c r="CH24" s="253">
        <f t="shared" si="75"/>
        <v>1.751390228387335</v>
      </c>
      <c r="CI24" s="253">
        <f t="shared" si="54"/>
        <v>1.7914691943127963</v>
      </c>
      <c r="CJ24" s="253">
        <f t="shared" si="76"/>
        <v>1.4572392813269264</v>
      </c>
      <c r="CK24" s="253">
        <f t="shared" si="55"/>
        <v>1.4640616367510688</v>
      </c>
      <c r="CL24" s="253">
        <f t="shared" si="56"/>
        <v>0.48154803115246869</v>
      </c>
      <c r="CM24" s="253">
        <f t="shared" si="3"/>
        <v>0.52414246163952893</v>
      </c>
      <c r="CN24" s="15">
        <f t="shared" si="4"/>
        <v>1.5431548724041484</v>
      </c>
      <c r="CO24" s="7">
        <f t="shared" si="5"/>
        <v>1.6214953271028036</v>
      </c>
      <c r="CP24" s="10">
        <f t="shared" si="6"/>
        <v>1.751390228387335</v>
      </c>
      <c r="CQ24" s="11">
        <f t="shared" si="7"/>
        <v>1.7914691943127963</v>
      </c>
      <c r="CR24" s="10">
        <f t="shared" si="8"/>
        <v>1.6060818531214294</v>
      </c>
      <c r="CS24" s="25">
        <f t="shared" si="9"/>
        <v>1.540983606557377</v>
      </c>
      <c r="CT24" s="10">
        <f t="shared" si="10"/>
        <v>1.5213003347195455</v>
      </c>
      <c r="CU24" s="25">
        <f t="shared" si="11"/>
        <v>1.4747774480712166</v>
      </c>
      <c r="CV24" s="10">
        <f t="shared" si="12"/>
        <v>1.2698421972348664</v>
      </c>
      <c r="CW24" s="25">
        <f t="shared" si="13"/>
        <v>1.2673267326732673</v>
      </c>
      <c r="CX24" s="10">
        <f t="shared" si="14"/>
        <v>1.568301204819277</v>
      </c>
      <c r="CY24" s="25">
        <f t="shared" si="15"/>
        <v>1.5127737226277371</v>
      </c>
      <c r="CZ24" s="10">
        <f t="shared" si="16"/>
        <v>1.4013151521023057</v>
      </c>
      <c r="DA24" s="25">
        <f t="shared" si="17"/>
        <v>1.4130434782608696</v>
      </c>
      <c r="DB24" s="10">
        <f t="shared" si="18"/>
        <v>1.5309412030695162</v>
      </c>
      <c r="DC24" s="25">
        <f t="shared" si="19"/>
        <v>1.5542168674698795</v>
      </c>
      <c r="DD24" s="10">
        <f t="shared" si="20"/>
        <v>1.3366691523943326</v>
      </c>
      <c r="DE24" s="25">
        <f t="shared" si="21"/>
        <v>1.3365155131264916</v>
      </c>
      <c r="DF24" s="10">
        <f t="shared" si="22"/>
        <v>1.6093770812058785</v>
      </c>
      <c r="DG24" s="25">
        <f t="shared" si="23"/>
        <v>1.6402439024390243</v>
      </c>
      <c r="DH24" s="10">
        <f t="shared" si="24"/>
        <v>1.5594218314926633</v>
      </c>
      <c r="DI24" s="25">
        <f t="shared" si="25"/>
        <v>1.5625859697386519</v>
      </c>
      <c r="DJ24" s="10">
        <f t="shared" si="26"/>
        <v>1.3923826248301912</v>
      </c>
      <c r="DK24" s="25">
        <f t="shared" si="27"/>
        <v>1.4024242424242424</v>
      </c>
      <c r="DL24" s="10">
        <f t="shared" si="97"/>
        <v>1.3629083153794259</v>
      </c>
      <c r="DM24" s="25">
        <f t="shared" si="98"/>
        <v>1.3798701298701299</v>
      </c>
      <c r="DN24" s="10">
        <f t="shared" si="28"/>
        <v>1.4325713726932803</v>
      </c>
      <c r="DO24" s="25">
        <f t="shared" si="29"/>
        <v>1.4491609081934846</v>
      </c>
      <c r="DP24" s="10">
        <f t="shared" si="30"/>
        <v>1.2924944707246582</v>
      </c>
      <c r="DQ24" s="25">
        <f t="shared" si="31"/>
        <v>1.3213675213675213</v>
      </c>
      <c r="DR24" s="10">
        <f t="shared" si="57"/>
        <v>1.3600348393169939</v>
      </c>
      <c r="DS24" s="25">
        <f t="shared" si="32"/>
        <v>1.3571428571428572</v>
      </c>
      <c r="DT24" s="10">
        <f t="shared" si="58"/>
        <v>1.3620122671548494</v>
      </c>
      <c r="DU24" s="25">
        <f t="shared" si="59"/>
        <v>1.3764172335600906</v>
      </c>
      <c r="DV24" s="10">
        <f t="shared" si="33"/>
        <v>1.3379596470522115</v>
      </c>
      <c r="DW24" s="25">
        <f t="shared" si="34"/>
        <v>1.3656276326874472</v>
      </c>
      <c r="DX24" s="16"/>
      <c r="DY24" s="18">
        <f t="shared" si="35"/>
        <v>-7.8340454698655249E-2</v>
      </c>
      <c r="DZ24" s="26"/>
      <c r="EA24" s="27">
        <f t="shared" si="36"/>
        <v>-4.007896592546123E-2</v>
      </c>
      <c r="EB24" s="19"/>
      <c r="EC24" s="17">
        <f t="shared" si="37"/>
        <v>6.5098246564052387E-2</v>
      </c>
      <c r="ED24" s="19"/>
      <c r="EE24" s="17">
        <f t="shared" si="38"/>
        <v>4.6522886648328932E-2</v>
      </c>
      <c r="EF24" s="19"/>
      <c r="EG24" s="17">
        <f t="shared" si="39"/>
        <v>2.5154645615990123E-3</v>
      </c>
      <c r="EH24" s="19"/>
      <c r="EI24" s="17">
        <f t="shared" si="40"/>
        <v>5.5527482191539912E-2</v>
      </c>
      <c r="EJ24" s="19"/>
      <c r="EK24" s="17">
        <f t="shared" si="41"/>
        <v>-1.1728326158563895E-2</v>
      </c>
      <c r="EL24" s="19"/>
      <c r="EM24" s="17">
        <f t="shared" si="42"/>
        <v>-2.3275664400363327E-2</v>
      </c>
      <c r="EN24" s="19"/>
      <c r="EO24" s="17">
        <f t="shared" si="43"/>
        <v>1.5363926784095483E-4</v>
      </c>
      <c r="EP24" s="19"/>
      <c r="EQ24" s="17">
        <f t="shared" si="44"/>
        <v>-3.0866821233145769E-2</v>
      </c>
      <c r="ER24" s="19"/>
      <c r="ES24" s="17">
        <f t="shared" si="45"/>
        <v>-3.1641382459886014E-3</v>
      </c>
      <c r="ET24" s="19"/>
      <c r="EU24" s="17">
        <f t="shared" si="46"/>
        <v>-1.00416175940512E-2</v>
      </c>
      <c r="EV24" s="19"/>
      <c r="EW24" s="17">
        <f t="shared" si="47"/>
        <v>-1.6961814490703997E-2</v>
      </c>
      <c r="EX24" s="19"/>
      <c r="EY24" s="17">
        <f t="shared" si="48"/>
        <v>-1.6589535500204367E-2</v>
      </c>
      <c r="EZ24" s="19"/>
      <c r="FA24" s="17">
        <f t="shared" si="49"/>
        <v>-2.8873050642863163E-2</v>
      </c>
      <c r="FB24" s="19"/>
      <c r="FC24" s="18">
        <f t="shared" si="50"/>
        <v>2.8919821741366647E-3</v>
      </c>
      <c r="FD24" s="19"/>
      <c r="FE24" s="18">
        <f t="shared" si="60"/>
        <v>-1.4404966405241248E-2</v>
      </c>
      <c r="FF24" s="19"/>
      <c r="FG24" s="18">
        <f t="shared" si="61"/>
        <v>-2.7667985635235759E-2</v>
      </c>
    </row>
    <row r="25" spans="1:163" ht="15.75" hidden="1" outlineLevel="1" thickBot="1" x14ac:dyDescent="0.3">
      <c r="A25" s="832">
        <v>16</v>
      </c>
      <c r="B25" s="3">
        <v>42277</v>
      </c>
      <c r="C25" s="3">
        <v>224</v>
      </c>
      <c r="D25" s="20">
        <f>IFERROR(Tabelle3[[#This Row],[Ned (€)]]/Tabelle3[[#This Row],[Ned (Backer)]],"")</f>
        <v>188.73660714285714</v>
      </c>
      <c r="E25" s="3">
        <v>103452</v>
      </c>
      <c r="F25" s="3">
        <v>445</v>
      </c>
      <c r="G25" s="358">
        <f>Tabelle3[[#This Row],[Werkzeuge (€)]]/Tabelle3[[#This Row],[Werkzeuge (Backer)]]</f>
        <v>232.47640449438202</v>
      </c>
      <c r="H25" s="3">
        <v>80049</v>
      </c>
      <c r="I25" s="3">
        <v>444</v>
      </c>
      <c r="J25" s="20">
        <f>Tabelle3[[#This Row],[DSK Fasar (€)]]/Tabelle3[[#This Row],[DSK Fasar (Backer)]]</f>
        <v>180.29054054054055</v>
      </c>
      <c r="K25" s="3">
        <v>61842</v>
      </c>
      <c r="L25" s="3">
        <v>349</v>
      </c>
      <c r="M25" s="20">
        <f>Tabelle3[[#This Row],[Mythen (€)]]/Tabelle3[[#This Row],[Mythen (Backer)]]</f>
        <v>177.19770773638967</v>
      </c>
      <c r="N25" s="3">
        <v>193264</v>
      </c>
      <c r="O25" s="3">
        <v>1350</v>
      </c>
      <c r="P25" s="20">
        <f>Tabelle3[[#This Row],[SOK (€)]]/Tabelle3[[#This Row],[SOK (Backer)]]</f>
        <v>143.15851851851852</v>
      </c>
      <c r="Q25" s="3">
        <v>257666</v>
      </c>
      <c r="R25" s="3">
        <v>1134</v>
      </c>
      <c r="S25" s="20">
        <f>Tabelle3[[#This Row],[RE (€)]]/Tabelle3[[#This Row],[RE (Backer)]]</f>
        <v>227.21869488536154</v>
      </c>
      <c r="T25" s="3">
        <v>174081</v>
      </c>
      <c r="U25" s="3">
        <v>729</v>
      </c>
      <c r="V25" s="20">
        <f>Tabelle3[[#This Row],[DGG (€)]]/Tabelle3[[#This Row],[DGG (Backer)]]</f>
        <v>238.79423868312756</v>
      </c>
      <c r="W25" s="3">
        <v>78668</v>
      </c>
      <c r="X25" s="3">
        <v>438</v>
      </c>
      <c r="Y25" s="20">
        <f>Tabelle3[[#This Row],[DSK SV (€)]]/Tabelle3[[#This Row],[DSK SV (Backer)]]</f>
        <v>179.60730593607306</v>
      </c>
      <c r="Z25" s="3">
        <v>251181</v>
      </c>
      <c r="AA25" s="3">
        <v>1301</v>
      </c>
      <c r="AB25" s="20">
        <f>Tabelle3[[#This Row],[WW (€)]]/Tabelle3[[#This Row],[WW (Backer)]]</f>
        <v>193.06764027671022</v>
      </c>
      <c r="AC25" s="3">
        <v>23503</v>
      </c>
      <c r="AD25" s="3">
        <v>172</v>
      </c>
      <c r="AE25" s="20">
        <f>Tabelle3[[#This Row],[DSK R (€)]]/Tabelle3[[#This Row],[DSK R (Backer)]]</f>
        <v>136.6453488372093</v>
      </c>
      <c r="AF25" s="3">
        <v>167089</v>
      </c>
      <c r="AG25" s="3">
        <v>758</v>
      </c>
      <c r="AH25" s="20">
        <f>Tabelle3[[#This Row],[Ära (€)]]/Tabelle3[[#This Row],[Ära (Backer)]]</f>
        <v>220.43403693931398</v>
      </c>
      <c r="AI25" s="3">
        <v>61360</v>
      </c>
      <c r="AJ25" s="3">
        <v>836</v>
      </c>
      <c r="AK25" s="20">
        <f>Tabelle3[[#This Row],[Mosaik (€)]]/Tabelle3[[#This Row],[Mosaik (Backer)]]</f>
        <v>73.397129186602868</v>
      </c>
      <c r="AL25" s="3">
        <v>47979</v>
      </c>
      <c r="AM25" s="3">
        <v>319</v>
      </c>
      <c r="AN25" s="20">
        <f>Tabelle3[[#This Row],[DSK ES (€)]]/Tabelle3[[#This Row],[DSK ES (Backer)]]</f>
        <v>150.40438871473353</v>
      </c>
      <c r="AO25" s="3">
        <v>222938</v>
      </c>
      <c r="AP25" s="3">
        <v>1049</v>
      </c>
      <c r="AQ25" s="20">
        <f>Tabelle3[[#This Row],[ES (€)]]/Tabelle3[[#This Row],[ES (Backer)]]</f>
        <v>212.52430886558628</v>
      </c>
      <c r="AR25" s="3">
        <v>272847.35999999999</v>
      </c>
      <c r="AS25" s="3">
        <v>1216</v>
      </c>
      <c r="AT25" s="20">
        <f>Tabelle3[[#This Row],[WF (€)]]/Tabelle3[[#This Row],[WF(Backer)]]</f>
        <v>224.38105263157894</v>
      </c>
      <c r="AU25" s="3">
        <v>427537</v>
      </c>
      <c r="AV25" s="3">
        <v>2039</v>
      </c>
      <c r="AW25" s="20">
        <f>Tabelle3[[#This Row],[AKM (€)]]/Tabelle3[[#This Row],[AKM(Backer)]]</f>
        <v>209.679744973026</v>
      </c>
      <c r="AX25" s="3">
        <v>273190</v>
      </c>
      <c r="AY25" s="3">
        <v>941</v>
      </c>
      <c r="AZ25" s="20">
        <f>Tabelle3[[#This Row],[Lex (€)]]/Tabelle3[[#This Row],[Lex(Backer)]]</f>
        <v>290.31880977683318</v>
      </c>
      <c r="BA25" s="3">
        <v>277174</v>
      </c>
      <c r="BB25" s="3">
        <v>1242</v>
      </c>
      <c r="BC25" s="20">
        <f>Tabelle3[[#This Row],[KA (€)]]/Tabelle3[[#This Row],[KA (Backer)]]</f>
        <v>223.16747181964573</v>
      </c>
      <c r="BD25" s="831">
        <f>'Übersicht &amp; Anleitung'!AR72</f>
        <v>266188</v>
      </c>
      <c r="BE25" s="831">
        <f>'Übersicht &amp; Anleitung'!AS72</f>
        <v>1410</v>
      </c>
      <c r="BF25" s="20">
        <f>Tabelle3[[#This Row],[MAR (€)]]/Tabelle3[[#This Row],[MAR (Backer)]]</f>
        <v>188.78581560283689</v>
      </c>
      <c r="BQ25" s="834" t="s">
        <v>155</v>
      </c>
      <c r="BR25" s="6">
        <f t="shared" si="62"/>
        <v>329287.546961669</v>
      </c>
      <c r="BS25" s="6">
        <f t="shared" si="63"/>
        <v>1737.9555555555557</v>
      </c>
      <c r="BT25" s="21">
        <f t="shared" ref="BT25:BT26" si="141">BR25/BS25</f>
        <v>189.46833588987192</v>
      </c>
      <c r="BU25" s="6">
        <f t="shared" si="65"/>
        <v>439223.57990179019</v>
      </c>
      <c r="BV25" s="6">
        <f t="shared" si="66"/>
        <v>2395.4157303370785</v>
      </c>
      <c r="BW25" s="21">
        <f t="shared" ref="BW25:BW26" si="142">BU25/BV25</f>
        <v>183.36006328220256</v>
      </c>
      <c r="BX25" s="3">
        <f t="shared" ref="BX25:BX26" si="143">AVERAGE(BR25,BU25)</f>
        <v>384255.56343172956</v>
      </c>
      <c r="BY25" s="3">
        <f t="shared" ref="BY25:BY26" si="144">AVERAGE(BS25,BV25)</f>
        <v>2066.6856429463169</v>
      </c>
      <c r="BZ25" s="21">
        <f t="shared" ref="BZ25:BZ26" si="145">BX25/BY25</f>
        <v>185.9284041301635</v>
      </c>
      <c r="CA25" s="3">
        <f t="shared" si="71"/>
        <v>372356.8953146406</v>
      </c>
      <c r="CB25" s="3">
        <f t="shared" si="72"/>
        <v>1980.8699875933146</v>
      </c>
      <c r="CC25" s="21">
        <f t="shared" ref="CC25:CC26" si="146">CA25/CB25</f>
        <v>187.97644350553301</v>
      </c>
      <c r="CE25" s="834" t="s">
        <v>155</v>
      </c>
      <c r="CF25" s="14">
        <f t="shared" si="74"/>
        <v>1.2370488037089162</v>
      </c>
      <c r="CG25" s="14">
        <f t="shared" si="53"/>
        <v>1.2325925925925927</v>
      </c>
      <c r="CH25" s="253">
        <f t="shared" si="75"/>
        <v>1.6500502648571318</v>
      </c>
      <c r="CI25" s="253">
        <f t="shared" si="54"/>
        <v>1.698876404494382</v>
      </c>
      <c r="CJ25" s="253">
        <f t="shared" si="76"/>
        <v>1.3988492919088786</v>
      </c>
      <c r="CK25" s="253">
        <f t="shared" si="55"/>
        <v>1.4048723316264642</v>
      </c>
      <c r="CL25" s="253">
        <f t="shared" si="56"/>
        <v>0.41300146114821557</v>
      </c>
      <c r="CM25" s="253">
        <f t="shared" si="3"/>
        <v>0.46628381190178936</v>
      </c>
      <c r="CN25" s="15">
        <f t="shared" si="4"/>
        <v>1.4746789034226648</v>
      </c>
      <c r="CO25" s="7">
        <f t="shared" si="5"/>
        <v>1.5491071428571428</v>
      </c>
      <c r="CP25" s="10">
        <f t="shared" si="6"/>
        <v>1.6500502648571318</v>
      </c>
      <c r="CQ25" s="11">
        <f t="shared" si="7"/>
        <v>1.698876404494382</v>
      </c>
      <c r="CR25" s="10">
        <f t="shared" si="8"/>
        <v>1.5452285475146472</v>
      </c>
      <c r="CS25" s="25">
        <f t="shared" si="9"/>
        <v>1.4819819819819819</v>
      </c>
      <c r="CT25" s="10">
        <f t="shared" si="10"/>
        <v>1.4551760939167555</v>
      </c>
      <c r="CU25" s="25">
        <f t="shared" si="11"/>
        <v>1.4240687679083095</v>
      </c>
      <c r="CV25" s="10">
        <f t="shared" si="12"/>
        <v>1.2370488037089162</v>
      </c>
      <c r="CW25" s="25">
        <f t="shared" si="13"/>
        <v>1.2325925925925927</v>
      </c>
      <c r="CX25" s="10">
        <f t="shared" si="14"/>
        <v>1.5155550208409336</v>
      </c>
      <c r="CY25" s="25">
        <f t="shared" si="15"/>
        <v>1.4620811287477955</v>
      </c>
      <c r="CZ25" s="10">
        <f t="shared" si="16"/>
        <v>1.3294385946771905</v>
      </c>
      <c r="DA25" s="25">
        <f t="shared" si="17"/>
        <v>1.3374485596707819</v>
      </c>
      <c r="DB25" s="10">
        <f t="shared" si="18"/>
        <v>1.4632760461687091</v>
      </c>
      <c r="DC25" s="25">
        <f t="shared" si="19"/>
        <v>1.4726027397260273</v>
      </c>
      <c r="DD25" s="10">
        <f t="shared" si="20"/>
        <v>1.291638300667646</v>
      </c>
      <c r="DE25" s="25">
        <f t="shared" si="21"/>
        <v>1.2913143735588009</v>
      </c>
      <c r="DF25" s="10">
        <f t="shared" si="22"/>
        <v>1.5422711994213505</v>
      </c>
      <c r="DG25" s="25">
        <f t="shared" si="23"/>
        <v>1.5639534883720929</v>
      </c>
      <c r="DH25" s="10">
        <f t="shared" si="24"/>
        <v>1.4915344516993938</v>
      </c>
      <c r="DI25" s="25">
        <f t="shared" si="25"/>
        <v>1.4986807387862797</v>
      </c>
      <c r="DJ25" s="10">
        <f t="shared" si="26"/>
        <v>1.3697359843546284</v>
      </c>
      <c r="DK25" s="25">
        <f t="shared" si="27"/>
        <v>1.3839712918660287</v>
      </c>
      <c r="DL25" s="10">
        <f t="shared" si="97"/>
        <v>1.3053002355197065</v>
      </c>
      <c r="DM25" s="25">
        <f t="shared" si="98"/>
        <v>1.3322884012539185</v>
      </c>
      <c r="DN25" s="10">
        <f t="shared" si="28"/>
        <v>1.3799755985969193</v>
      </c>
      <c r="DO25" s="25">
        <f t="shared" si="29"/>
        <v>1.3994280266920878</v>
      </c>
      <c r="DP25" s="10">
        <f t="shared" si="30"/>
        <v>1.2534722710895938</v>
      </c>
      <c r="DQ25" s="25">
        <f t="shared" si="31"/>
        <v>1.2713815789473684</v>
      </c>
      <c r="DR25" s="10">
        <f t="shared" si="57"/>
        <v>1.3111764361914875</v>
      </c>
      <c r="DS25" s="25">
        <f t="shared" si="32"/>
        <v>1.3138793526238353</v>
      </c>
      <c r="DT25" s="10">
        <f t="shared" si="58"/>
        <v>1.2745252022401992</v>
      </c>
      <c r="DU25" s="25">
        <f t="shared" si="59"/>
        <v>1.2901168969181722</v>
      </c>
      <c r="DV25" s="10">
        <f t="shared" si="33"/>
        <v>1.2883414028732854</v>
      </c>
      <c r="DW25" s="25">
        <f t="shared" si="34"/>
        <v>1.3051529790660226</v>
      </c>
      <c r="DX25" s="16"/>
      <c r="DY25" s="18">
        <f t="shared" si="35"/>
        <v>-7.4428239434477961E-2</v>
      </c>
      <c r="DZ25" s="26"/>
      <c r="EA25" s="27">
        <f t="shared" si="36"/>
        <v>-4.8826139637250243E-2</v>
      </c>
      <c r="EB25" s="19"/>
      <c r="EC25" s="17">
        <f t="shared" si="37"/>
        <v>6.3246565532665278E-2</v>
      </c>
      <c r="ED25" s="19"/>
      <c r="EE25" s="17">
        <f t="shared" si="38"/>
        <v>3.1107326008446012E-2</v>
      </c>
      <c r="EF25" s="19"/>
      <c r="EG25" s="17">
        <f t="shared" si="39"/>
        <v>4.4562111163235496E-3</v>
      </c>
      <c r="EH25" s="19"/>
      <c r="EI25" s="17">
        <f t="shared" si="40"/>
        <v>5.3473892093138131E-2</v>
      </c>
      <c r="EJ25" s="19"/>
      <c r="EK25" s="17">
        <f t="shared" si="41"/>
        <v>-8.0099649935914119E-3</v>
      </c>
      <c r="EL25" s="19"/>
      <c r="EM25" s="17">
        <f t="shared" si="42"/>
        <v>-9.3266935573181886E-3</v>
      </c>
      <c r="EN25" s="19"/>
      <c r="EO25" s="17">
        <f t="shared" si="43"/>
        <v>3.2392710884510123E-4</v>
      </c>
      <c r="EP25" s="19"/>
      <c r="EQ25" s="17">
        <f t="shared" si="44"/>
        <v>-2.1682288950742423E-2</v>
      </c>
      <c r="ER25" s="19"/>
      <c r="ES25" s="17">
        <f t="shared" si="45"/>
        <v>-7.1462870868859163E-3</v>
      </c>
      <c r="ET25" s="19"/>
      <c r="EU25" s="17">
        <f t="shared" si="46"/>
        <v>-1.4235307511400341E-2</v>
      </c>
      <c r="EV25" s="19"/>
      <c r="EW25" s="17">
        <f t="shared" si="47"/>
        <v>-2.6988165734211922E-2</v>
      </c>
      <c r="EX25" s="19"/>
      <c r="EY25" s="17">
        <f t="shared" si="48"/>
        <v>-1.945242809516845E-2</v>
      </c>
      <c r="EZ25" s="19"/>
      <c r="FA25" s="17">
        <f t="shared" si="49"/>
        <v>-1.7909307857774559E-2</v>
      </c>
      <c r="FB25" s="19"/>
      <c r="FC25" s="18">
        <f t="shared" si="50"/>
        <v>-2.7029164323477683E-3</v>
      </c>
      <c r="FD25" s="19"/>
      <c r="FE25" s="18">
        <f t="shared" si="60"/>
        <v>-1.5591694677973056E-2</v>
      </c>
      <c r="FF25" s="19"/>
      <c r="FG25" s="18">
        <f t="shared" si="61"/>
        <v>-1.681157619273721E-2</v>
      </c>
    </row>
    <row r="26" spans="1:163" ht="15.75" hidden="1" outlineLevel="1" thickBot="1" x14ac:dyDescent="0.3">
      <c r="A26" s="832">
        <v>17</v>
      </c>
      <c r="B26" s="3">
        <v>44039</v>
      </c>
      <c r="C26" s="3">
        <v>233</v>
      </c>
      <c r="D26" s="20">
        <f>IFERROR(Tabelle3[[#This Row],[Ned (€)]]/Tabelle3[[#This Row],[Ned (Backer)]],"")</f>
        <v>189.00858369098714</v>
      </c>
      <c r="E26" s="8">
        <v>109547</v>
      </c>
      <c r="F26" s="8">
        <v>471</v>
      </c>
      <c r="G26" s="20">
        <f>Tabelle3[[#This Row],[Werkzeuge (€)]]/Tabelle3[[#This Row],[Werkzeuge (Backer)]]</f>
        <v>232.58386411889597</v>
      </c>
      <c r="H26" s="3">
        <v>86833</v>
      </c>
      <c r="I26" s="3">
        <v>487</v>
      </c>
      <c r="J26" s="20">
        <f>Tabelle3[[#This Row],[DSK Fasar (€)]]/Tabelle3[[#This Row],[DSK Fasar (Backer)]]</f>
        <v>178.30184804928132</v>
      </c>
      <c r="K26" s="3">
        <v>64258</v>
      </c>
      <c r="L26" s="3">
        <v>363</v>
      </c>
      <c r="M26" s="20">
        <f>Tabelle3[[#This Row],[Mythen (€)]]/Tabelle3[[#This Row],[Mythen (Backer)]]</f>
        <v>177.01928374655648</v>
      </c>
      <c r="N26" s="3">
        <v>198261</v>
      </c>
      <c r="O26" s="3">
        <v>1384</v>
      </c>
      <c r="P26" s="20">
        <f>Tabelle3[[#This Row],[SOK (€)]]/Tabelle3[[#This Row],[SOK (Backer)]]</f>
        <v>143.25216763005781</v>
      </c>
      <c r="Q26" s="3">
        <v>268894</v>
      </c>
      <c r="R26" s="3">
        <v>1160</v>
      </c>
      <c r="S26" s="358">
        <f>Tabelle3[[#This Row],[RE (€)]]/Tabelle3[[#This Row],[RE (Backer)]]</f>
        <v>231.80517241379312</v>
      </c>
      <c r="T26" s="3">
        <v>181054</v>
      </c>
      <c r="U26" s="3">
        <v>757</v>
      </c>
      <c r="V26" s="20">
        <f>Tabelle3[[#This Row],[DGG (€)]]/Tabelle3[[#This Row],[DGG (Backer)]]</f>
        <v>239.17305151915457</v>
      </c>
      <c r="W26" s="3">
        <v>83940</v>
      </c>
      <c r="X26" s="3">
        <v>471</v>
      </c>
      <c r="Y26" s="20">
        <f>Tabelle3[[#This Row],[DSK SV (€)]]/Tabelle3[[#This Row],[DSK SV (Backer)]]</f>
        <v>178.21656050955414</v>
      </c>
      <c r="Z26" s="3">
        <v>258252</v>
      </c>
      <c r="AA26" s="3">
        <v>1341</v>
      </c>
      <c r="AB26" s="20">
        <f>Tabelle3[[#This Row],[WW (€)]]/Tabelle3[[#This Row],[WW (Backer)]]</f>
        <v>192.58165548098435</v>
      </c>
      <c r="AC26" s="3">
        <v>23945</v>
      </c>
      <c r="AD26" s="3">
        <v>175</v>
      </c>
      <c r="AE26" s="20">
        <f>Tabelle3[[#This Row],[DSK R (€)]]/Tabelle3[[#This Row],[DSK R (Backer)]]</f>
        <v>136.82857142857142</v>
      </c>
      <c r="AF26" s="3">
        <v>174268</v>
      </c>
      <c r="AG26" s="3">
        <v>790</v>
      </c>
      <c r="AH26" s="20">
        <f>Tabelle3[[#This Row],[Ära (€)]]/Tabelle3[[#This Row],[Ära (Backer)]]</f>
        <v>220.59240506329115</v>
      </c>
      <c r="AI26" s="3">
        <v>63787</v>
      </c>
      <c r="AJ26" s="3">
        <v>865</v>
      </c>
      <c r="AK26" s="20">
        <f>Tabelle3[[#This Row],[Mosaik (€)]]/Tabelle3[[#This Row],[Mosaik (Backer)]]</f>
        <v>73.742196531791905</v>
      </c>
      <c r="AL26" s="3">
        <v>49387</v>
      </c>
      <c r="AM26" s="3">
        <v>329</v>
      </c>
      <c r="AN26" s="20">
        <f>Tabelle3[[#This Row],[DSK ES (€)]]/Tabelle3[[#This Row],[DSK ES (Backer)]]</f>
        <v>150.11246200607903</v>
      </c>
      <c r="AO26" s="3">
        <v>228929</v>
      </c>
      <c r="AP26" s="3">
        <v>1075</v>
      </c>
      <c r="AQ26" s="20">
        <f>Tabelle3[[#This Row],[ES (€)]]/Tabelle3[[#This Row],[ES (Backer)]]</f>
        <v>212.95720930232559</v>
      </c>
      <c r="AR26" s="3">
        <v>281181.88</v>
      </c>
      <c r="AS26" s="3">
        <v>1256</v>
      </c>
      <c r="AT26" s="20">
        <f>Tabelle3[[#This Row],[WF (€)]]/Tabelle3[[#This Row],[WF(Backer)]]</f>
        <v>223.87092356687899</v>
      </c>
      <c r="AU26" s="3">
        <v>439430</v>
      </c>
      <c r="AV26" s="3">
        <v>2089</v>
      </c>
      <c r="AW26" s="20">
        <f>Tabelle3[[#This Row],[AKM (€)]]/Tabelle3[[#This Row],[AKM(Backer)]]</f>
        <v>210.35423647678314</v>
      </c>
      <c r="AX26" s="3">
        <v>286964</v>
      </c>
      <c r="AY26" s="3">
        <v>988</v>
      </c>
      <c r="AZ26" s="20">
        <f>Tabelle3[[#This Row],[Lex (€)]]/Tabelle3[[#This Row],[Lex(Backer)]]</f>
        <v>290.4493927125506</v>
      </c>
      <c r="BA26" s="3">
        <v>284702</v>
      </c>
      <c r="BB26" s="3">
        <v>1281</v>
      </c>
      <c r="BC26" s="20">
        <f>Tabelle3[[#This Row],[KA (€)]]/Tabelle3[[#This Row],[KA (Backer)]]</f>
        <v>222.24980483996876</v>
      </c>
      <c r="BD26" s="831">
        <f>'Übersicht &amp; Anleitung'!AR73</f>
        <v>272160</v>
      </c>
      <c r="BE26" s="831">
        <f>'Übersicht &amp; Anleitung'!AS73</f>
        <v>1442</v>
      </c>
      <c r="BF26" s="20">
        <f>Tabelle3[[#This Row],[MAR (€)]]/Tabelle3[[#This Row],[MAR (Backer)]]</f>
        <v>188.73786407766991</v>
      </c>
      <c r="BQ26" s="834" t="s">
        <v>156</v>
      </c>
      <c r="BR26" s="6">
        <f t="shared" si="62"/>
        <v>328189.59008579596</v>
      </c>
      <c r="BS26" s="6">
        <f t="shared" si="63"/>
        <v>1733.7341040462429</v>
      </c>
      <c r="BT26" s="21">
        <f t="shared" si="141"/>
        <v>189.29638017724679</v>
      </c>
      <c r="BU26" s="6">
        <f t="shared" si="65"/>
        <v>424091.7976758834</v>
      </c>
      <c r="BV26" s="6">
        <f t="shared" si="66"/>
        <v>2314.5477707006371</v>
      </c>
      <c r="BW26" s="21">
        <f t="shared" si="142"/>
        <v>183.22879442989699</v>
      </c>
      <c r="BX26" s="3">
        <f t="shared" si="143"/>
        <v>376140.69388083968</v>
      </c>
      <c r="BY26" s="3">
        <f t="shared" si="144"/>
        <v>2024.14093737344</v>
      </c>
      <c r="BZ26" s="21">
        <f t="shared" si="145"/>
        <v>185.82732404440489</v>
      </c>
      <c r="CA26" s="3">
        <f t="shared" si="71"/>
        <v>365678.09663902619</v>
      </c>
      <c r="CB26" s="3">
        <f t="shared" si="72"/>
        <v>1947.0828879644798</v>
      </c>
      <c r="CC26" s="21">
        <f t="shared" si="146"/>
        <v>187.80818161332286</v>
      </c>
      <c r="CE26" s="834" t="s">
        <v>156</v>
      </c>
      <c r="CF26" s="14">
        <f t="shared" si="74"/>
        <v>1.2058700399977806</v>
      </c>
      <c r="CG26" s="14">
        <f t="shared" si="53"/>
        <v>1.2023121387283238</v>
      </c>
      <c r="CH26" s="253">
        <f t="shared" si="75"/>
        <v>1.5582444065104475</v>
      </c>
      <c r="CI26" s="253">
        <f t="shared" si="54"/>
        <v>1.605095541401274</v>
      </c>
      <c r="CJ26" s="253">
        <f t="shared" si="76"/>
        <v>1.3436144056401609</v>
      </c>
      <c r="CK26" s="253">
        <f t="shared" si="55"/>
        <v>1.3502655256341747</v>
      </c>
      <c r="CL26" s="253">
        <f t="shared" si="56"/>
        <v>0.35237436651266685</v>
      </c>
      <c r="CM26" s="253">
        <f t="shared" si="3"/>
        <v>0.40278340267295021</v>
      </c>
      <c r="CN26" s="15">
        <f t="shared" si="4"/>
        <v>1.415677013556166</v>
      </c>
      <c r="CO26" s="7">
        <f t="shared" si="5"/>
        <v>1.4892703862660943</v>
      </c>
      <c r="CP26" s="10">
        <f t="shared" si="6"/>
        <v>1.5582444065104475</v>
      </c>
      <c r="CQ26" s="11">
        <f t="shared" si="7"/>
        <v>1.605095541401274</v>
      </c>
      <c r="CR26" s="10">
        <f t="shared" si="8"/>
        <v>1.4245045086545438</v>
      </c>
      <c r="CS26" s="25">
        <f t="shared" si="9"/>
        <v>1.3511293634496919</v>
      </c>
      <c r="CT26" s="10">
        <f t="shared" si="10"/>
        <v>1.4004637554856982</v>
      </c>
      <c r="CU26" s="25">
        <f t="shared" si="11"/>
        <v>1.3691460055096418</v>
      </c>
      <c r="CV26" s="10">
        <f t="shared" si="12"/>
        <v>1.2058700399977806</v>
      </c>
      <c r="CW26" s="25">
        <f t="shared" si="13"/>
        <v>1.2023121387283238</v>
      </c>
      <c r="CX26" s="10">
        <f t="shared" si="14"/>
        <v>1.4522711551763892</v>
      </c>
      <c r="CY26" s="25">
        <f t="shared" si="15"/>
        <v>1.4293103448275861</v>
      </c>
      <c r="CZ26" s="10">
        <f t="shared" si="16"/>
        <v>1.2782374319263865</v>
      </c>
      <c r="DA26" s="25">
        <f t="shared" si="17"/>
        <v>1.2879788639365919</v>
      </c>
      <c r="DB26" s="10">
        <f t="shared" si="18"/>
        <v>1.371372408863474</v>
      </c>
      <c r="DC26" s="25">
        <f t="shared" si="19"/>
        <v>1.3694267515923566</v>
      </c>
      <c r="DD26" s="10">
        <f t="shared" si="20"/>
        <v>1.2562729427071233</v>
      </c>
      <c r="DE26" s="25">
        <f t="shared" si="21"/>
        <v>1.2527964205816555</v>
      </c>
      <c r="DF26" s="10">
        <f t="shared" si="22"/>
        <v>1.5138024639799541</v>
      </c>
      <c r="DG26" s="25">
        <f t="shared" si="23"/>
        <v>1.5371428571428571</v>
      </c>
      <c r="DH26" s="10">
        <f t="shared" si="24"/>
        <v>1.4300904354213051</v>
      </c>
      <c r="DI26" s="25">
        <f t="shared" si="25"/>
        <v>1.4379746835443037</v>
      </c>
      <c r="DJ26" s="10">
        <f t="shared" si="26"/>
        <v>1.3176195776568893</v>
      </c>
      <c r="DK26" s="25">
        <f t="shared" si="27"/>
        <v>1.3375722543352602</v>
      </c>
      <c r="DL26" s="10">
        <f t="shared" si="97"/>
        <v>1.2680867434750036</v>
      </c>
      <c r="DM26" s="25">
        <f t="shared" si="98"/>
        <v>1.2917933130699089</v>
      </c>
      <c r="DN26" s="10">
        <f t="shared" si="28"/>
        <v>1.3438620707730344</v>
      </c>
      <c r="DO26" s="25">
        <f t="shared" si="29"/>
        <v>1.3655813953488372</v>
      </c>
      <c r="DP26" s="10">
        <f t="shared" si="30"/>
        <v>1.2163180643076998</v>
      </c>
      <c r="DQ26" s="25">
        <f t="shared" si="31"/>
        <v>1.2308917197452229</v>
      </c>
      <c r="DR26" s="10">
        <f t="shared" si="57"/>
        <v>1.2756899619962223</v>
      </c>
      <c r="DS26" s="25">
        <f t="shared" si="32"/>
        <v>1.2824317855433223</v>
      </c>
      <c r="DT26" s="10">
        <f t="shared" si="58"/>
        <v>1.2133492005965905</v>
      </c>
      <c r="DU26" s="25">
        <f t="shared" si="59"/>
        <v>1.2287449392712551</v>
      </c>
      <c r="DV26" s="10">
        <f t="shared" si="33"/>
        <v>1.254275488054176</v>
      </c>
      <c r="DW26" s="25">
        <f t="shared" si="34"/>
        <v>1.2654176424668229</v>
      </c>
      <c r="DX26" s="16"/>
      <c r="DY26" s="18">
        <f t="shared" si="35"/>
        <v>-7.3593372709928273E-2</v>
      </c>
      <c r="DZ26" s="26"/>
      <c r="EA26" s="27">
        <f t="shared" si="36"/>
        <v>-4.6851134890826485E-2</v>
      </c>
      <c r="EB26" s="19"/>
      <c r="EC26" s="17">
        <f t="shared" si="37"/>
        <v>7.3375145204851888E-2</v>
      </c>
      <c r="ED26" s="19"/>
      <c r="EE26" s="17">
        <f t="shared" si="38"/>
        <v>3.1317749976056408E-2</v>
      </c>
      <c r="EF26" s="19"/>
      <c r="EG26" s="17">
        <f t="shared" si="39"/>
        <v>3.5579012694568757E-3</v>
      </c>
      <c r="EH26" s="19"/>
      <c r="EI26" s="17">
        <f t="shared" si="40"/>
        <v>2.296081034880304E-2</v>
      </c>
      <c r="EJ26" s="19"/>
      <c r="EK26" s="17">
        <f t="shared" si="41"/>
        <v>-9.7414320102053864E-3</v>
      </c>
      <c r="EL26" s="19"/>
      <c r="EM26" s="17">
        <f t="shared" si="42"/>
        <v>1.9456572711173958E-3</v>
      </c>
      <c r="EN26" s="19"/>
      <c r="EO26" s="17">
        <f t="shared" si="43"/>
        <v>3.4765221254677847E-3</v>
      </c>
      <c r="EP26" s="19"/>
      <c r="EQ26" s="17">
        <f t="shared" si="44"/>
        <v>-2.3340393162903039E-2</v>
      </c>
      <c r="ER26" s="19"/>
      <c r="ES26" s="17">
        <f t="shared" si="45"/>
        <v>-7.8842481229985939E-3</v>
      </c>
      <c r="ET26" s="19"/>
      <c r="EU26" s="17">
        <f t="shared" si="46"/>
        <v>-1.9952676678370862E-2</v>
      </c>
      <c r="EV26" s="19"/>
      <c r="EW26" s="17">
        <f t="shared" si="47"/>
        <v>-2.3706569594905247E-2</v>
      </c>
      <c r="EX26" s="19"/>
      <c r="EY26" s="17">
        <f t="shared" si="48"/>
        <v>-2.1719324575802723E-2</v>
      </c>
      <c r="EZ26" s="19"/>
      <c r="FA26" s="17">
        <f t="shared" si="49"/>
        <v>-1.4573655437523092E-2</v>
      </c>
      <c r="FB26" s="19"/>
      <c r="FC26" s="18">
        <f t="shared" si="50"/>
        <v>-6.7418235470999566E-3</v>
      </c>
      <c r="FD26" s="19"/>
      <c r="FE26" s="18">
        <f t="shared" si="60"/>
        <v>-1.5395738674664594E-2</v>
      </c>
      <c r="FF26" s="19"/>
      <c r="FG26" s="18">
        <f t="shared" si="61"/>
        <v>-1.1142154412646876E-2</v>
      </c>
    </row>
    <row r="27" spans="1:163" ht="15.75" hidden="1" outlineLevel="1" thickBot="1" x14ac:dyDescent="0.3">
      <c r="A27" s="832">
        <v>18</v>
      </c>
      <c r="B27" s="3">
        <v>46661</v>
      </c>
      <c r="C27" s="3">
        <v>250</v>
      </c>
      <c r="D27" s="20">
        <f>IFERROR(Tabelle3[[#This Row],[Ned (€)]]/Tabelle3[[#This Row],[Ned (Backer)]],"")</f>
        <v>186.64400000000001</v>
      </c>
      <c r="E27" s="8">
        <v>115420</v>
      </c>
      <c r="F27" s="8">
        <v>501</v>
      </c>
      <c r="G27" s="20">
        <f>Tabelle3[[#This Row],[Werkzeuge (€)]]/Tabelle3[[#This Row],[Werkzeuge (Backer)]]</f>
        <v>230.37924151696606</v>
      </c>
      <c r="H27" s="3">
        <v>91974</v>
      </c>
      <c r="I27" s="3">
        <v>514</v>
      </c>
      <c r="J27" s="20">
        <f>Tabelle3[[#This Row],[DSK Fasar (€)]]/Tabelle3[[#This Row],[DSK Fasar (Backer)]]</f>
        <v>178.93774319066148</v>
      </c>
      <c r="K27" s="3">
        <v>66749</v>
      </c>
      <c r="L27" s="3">
        <v>377</v>
      </c>
      <c r="M27" s="20">
        <f>Tabelle3[[#This Row],[Mythen (€)]]/Tabelle3[[#This Row],[Mythen (Backer)]]</f>
        <v>177.053050397878</v>
      </c>
      <c r="N27" s="3">
        <v>203119</v>
      </c>
      <c r="O27" s="3">
        <v>1419</v>
      </c>
      <c r="P27" s="20">
        <f>Tabelle3[[#This Row],[SOK (€)]]/Tabelle3[[#This Row],[SOK (Backer)]]</f>
        <v>143.14235377026074</v>
      </c>
      <c r="Q27" s="3">
        <v>280832</v>
      </c>
      <c r="R27" s="3">
        <v>1210</v>
      </c>
      <c r="S27" s="20">
        <f>Tabelle3[[#This Row],[RE (€)]]/Tabelle3[[#This Row],[RE (Backer)]]</f>
        <v>232.09256198347109</v>
      </c>
      <c r="T27" s="3">
        <v>187527</v>
      </c>
      <c r="U27" s="3">
        <v>781</v>
      </c>
      <c r="V27" s="358">
        <f>Tabelle3[[#This Row],[DGG (€)]]/Tabelle3[[#This Row],[DGG (Backer)]]</f>
        <v>240.11139564660692</v>
      </c>
      <c r="W27" s="3">
        <v>87091</v>
      </c>
      <c r="X27" s="3">
        <v>491</v>
      </c>
      <c r="Y27" s="20">
        <f>Tabelle3[[#This Row],[DSK SV (€)]]/Tabelle3[[#This Row],[DSK SV (Backer)]]</f>
        <v>177.37474541751527</v>
      </c>
      <c r="Z27" s="3">
        <v>267342</v>
      </c>
      <c r="AA27" s="3">
        <v>1386</v>
      </c>
      <c r="AB27" s="20">
        <f>Tabelle3[[#This Row],[WW (€)]]/Tabelle3[[#This Row],[WW (Backer)]]</f>
        <v>192.88744588744589</v>
      </c>
      <c r="AC27" s="3">
        <v>25263</v>
      </c>
      <c r="AD27" s="3">
        <v>186</v>
      </c>
      <c r="AE27" s="20">
        <f>Tabelle3[[#This Row],[DSK R (€)]]/Tabelle3[[#This Row],[DSK R (Backer)]]</f>
        <v>135.82258064516128</v>
      </c>
      <c r="AF27" s="3">
        <v>180234</v>
      </c>
      <c r="AG27" s="3">
        <v>821</v>
      </c>
      <c r="AH27" s="20">
        <f>Tabelle3[[#This Row],[Ära (€)]]/Tabelle3[[#This Row],[Ära (Backer)]]</f>
        <v>219.52984165651645</v>
      </c>
      <c r="AI27" s="3">
        <v>66341</v>
      </c>
      <c r="AJ27" s="3">
        <v>892</v>
      </c>
      <c r="AK27" s="20">
        <f>Tabelle3[[#This Row],[Mosaik (€)]]/Tabelle3[[#This Row],[Mosaik (Backer)]]</f>
        <v>74.373318385650222</v>
      </c>
      <c r="AL27" s="3">
        <v>51996</v>
      </c>
      <c r="AM27" s="3">
        <v>347</v>
      </c>
      <c r="AN27" s="20">
        <f>Tabelle3[[#This Row],[DSK ES (€)]]/Tabelle3[[#This Row],[DSK ES (Backer)]]</f>
        <v>149.84438040345822</v>
      </c>
      <c r="AO27" s="3">
        <v>237425</v>
      </c>
      <c r="AP27" s="3">
        <v>1113</v>
      </c>
      <c r="AQ27" s="20">
        <f>Tabelle3[[#This Row],[ES (€)]]/Tabelle3[[#This Row],[ES (Backer)]]</f>
        <v>213.31985624438454</v>
      </c>
      <c r="AR27" s="3">
        <v>290671.17</v>
      </c>
      <c r="AS27" s="3">
        <v>1296</v>
      </c>
      <c r="AT27" s="20">
        <f>Tabelle3[[#This Row],[WF (€)]]/Tabelle3[[#This Row],[WF(Backer)]]</f>
        <v>224.28331018518517</v>
      </c>
      <c r="AU27" s="3">
        <v>454034</v>
      </c>
      <c r="AV27" s="3">
        <v>2148</v>
      </c>
      <c r="AW27" s="20">
        <f>Tabelle3[[#This Row],[AKM (€)]]/Tabelle3[[#This Row],[AKM(Backer)]]</f>
        <v>211.37523277467412</v>
      </c>
      <c r="AX27" s="3">
        <v>298202</v>
      </c>
      <c r="AY27" s="3">
        <v>1027</v>
      </c>
      <c r="AZ27" s="20">
        <f>Tabelle3[[#This Row],[Lex (€)]]/Tabelle3[[#This Row],[Lex(Backer)]]</f>
        <v>290.36222005842257</v>
      </c>
      <c r="BA27" s="3">
        <v>294741</v>
      </c>
      <c r="BB27" s="3">
        <v>1333</v>
      </c>
      <c r="BC27" s="20">
        <f>Tabelle3[[#This Row],[KA (€)]]/Tabelle3[[#This Row],[KA (Backer)]]</f>
        <v>221.11102775693922</v>
      </c>
      <c r="BD27" s="831">
        <f>'Übersicht &amp; Anleitung'!AR74</f>
        <v>278792</v>
      </c>
      <c r="BE27" s="831">
        <f>'Übersicht &amp; Anleitung'!AS74</f>
        <v>1481</v>
      </c>
      <c r="BF27" s="20">
        <f>Tabelle3[[#This Row],[MAR (€)]]/Tabelle3[[#This Row],[MAR (Backer)]]</f>
        <v>188.2457798784605</v>
      </c>
      <c r="BQ27" s="834" t="s">
        <v>157</v>
      </c>
      <c r="BR27" s="6">
        <f t="shared" si="62"/>
        <v>325523.9758676333</v>
      </c>
      <c r="BS27" s="6">
        <f t="shared" si="63"/>
        <v>1736.7047216349542</v>
      </c>
      <c r="BT27" s="21">
        <f t="shared" ref="BT27" si="147">BR27/BS27</f>
        <v>187.43772145743992</v>
      </c>
      <c r="BU27" s="6">
        <f t="shared" si="65"/>
        <v>412320.85593484662</v>
      </c>
      <c r="BV27" s="6">
        <f t="shared" si="66"/>
        <v>2234.8023952095805</v>
      </c>
      <c r="BW27" s="21">
        <f t="shared" ref="BW27" si="148">BU27/BV27</f>
        <v>184.49991677952315</v>
      </c>
      <c r="BX27" s="3">
        <f t="shared" ref="BX27" si="149">AVERAGE(BR27,BU27)</f>
        <v>368922.41590123996</v>
      </c>
      <c r="BY27" s="3">
        <f t="shared" ref="BY27" si="150">AVERAGE(BS27,BV27)</f>
        <v>1985.7535584222674</v>
      </c>
      <c r="BZ27" s="21">
        <f t="shared" ref="BZ27" si="151">BX27/BY27</f>
        <v>185.78459262304349</v>
      </c>
      <c r="CA27" s="3">
        <f t="shared" si="71"/>
        <v>359521.33735198143</v>
      </c>
      <c r="CB27" s="3">
        <f t="shared" si="72"/>
        <v>1917.2504266428887</v>
      </c>
      <c r="CC27" s="21">
        <f t="shared" ref="CC27" si="152">CA27/CB27</f>
        <v>187.51923710952272</v>
      </c>
      <c r="CE27" s="834" t="s">
        <v>157</v>
      </c>
      <c r="CF27" s="14">
        <f t="shared" si="74"/>
        <v>1.167623087705649</v>
      </c>
      <c r="CG27" s="14">
        <f t="shared" si="53"/>
        <v>1.1726568005637774</v>
      </c>
      <c r="CH27" s="253">
        <f t="shared" si="75"/>
        <v>1.4789551204297349</v>
      </c>
      <c r="CI27" s="253">
        <f t="shared" si="54"/>
        <v>1.5089820359281436</v>
      </c>
      <c r="CJ27" s="253">
        <f t="shared" si="76"/>
        <v>1.2895683425348698</v>
      </c>
      <c r="CK27" s="253">
        <f t="shared" si="55"/>
        <v>1.2945647715346986</v>
      </c>
      <c r="CL27" s="253">
        <f t="shared" si="56"/>
        <v>0.31133203272408583</v>
      </c>
      <c r="CM27" s="253">
        <f t="shared" si="3"/>
        <v>0.3363252353643662</v>
      </c>
      <c r="CN27" s="15">
        <f t="shared" si="4"/>
        <v>1.3361265296500289</v>
      </c>
      <c r="CO27" s="7">
        <f t="shared" si="5"/>
        <v>1.3879999999999999</v>
      </c>
      <c r="CP27" s="10">
        <f t="shared" si="6"/>
        <v>1.4789551204297349</v>
      </c>
      <c r="CQ27" s="11">
        <f t="shared" si="7"/>
        <v>1.5089820359281436</v>
      </c>
      <c r="CR27" s="10">
        <f t="shared" si="8"/>
        <v>1.3448800748037488</v>
      </c>
      <c r="CS27" s="25">
        <f t="shared" si="9"/>
        <v>1.2801556420233462</v>
      </c>
      <c r="CT27" s="10">
        <f t="shared" si="10"/>
        <v>1.3481999730333039</v>
      </c>
      <c r="CU27" s="25">
        <f t="shared" si="11"/>
        <v>1.3183023872679045</v>
      </c>
      <c r="CV27" s="10">
        <f t="shared" si="12"/>
        <v>1.1770292291710771</v>
      </c>
      <c r="CW27" s="25">
        <f t="shared" si="13"/>
        <v>1.1726568005637774</v>
      </c>
      <c r="CX27" s="10">
        <f t="shared" si="14"/>
        <v>1.390535978805834</v>
      </c>
      <c r="CY27" s="25">
        <f t="shared" si="15"/>
        <v>1.3702479338842974</v>
      </c>
      <c r="CZ27" s="10">
        <f t="shared" si="16"/>
        <v>1.2341156206839548</v>
      </c>
      <c r="DA27" s="25">
        <f t="shared" si="17"/>
        <v>1.2483994878361075</v>
      </c>
      <c r="DB27" s="10">
        <f t="shared" si="18"/>
        <v>1.3217554052657565</v>
      </c>
      <c r="DC27" s="25">
        <f t="shared" si="19"/>
        <v>1.3136456211812628</v>
      </c>
      <c r="DD27" s="10">
        <f t="shared" si="20"/>
        <v>1.2135579145813229</v>
      </c>
      <c r="DE27" s="25">
        <f t="shared" si="21"/>
        <v>1.2121212121212122</v>
      </c>
      <c r="DF27" s="10">
        <f t="shared" si="22"/>
        <v>1.4348256343268813</v>
      </c>
      <c r="DG27" s="25">
        <f t="shared" si="23"/>
        <v>1.446236559139785</v>
      </c>
      <c r="DH27" s="10">
        <f t="shared" si="24"/>
        <v>1.382752421851593</v>
      </c>
      <c r="DI27" s="25">
        <f t="shared" si="25"/>
        <v>1.3836784409257004</v>
      </c>
      <c r="DJ27" s="10">
        <f t="shared" si="26"/>
        <v>1.26689377609623</v>
      </c>
      <c r="DK27" s="25">
        <f t="shared" si="27"/>
        <v>1.297085201793722</v>
      </c>
      <c r="DL27" s="10">
        <f t="shared" si="97"/>
        <v>1.2044580352334795</v>
      </c>
      <c r="DM27" s="25">
        <f t="shared" si="98"/>
        <v>1.2247838616714697</v>
      </c>
      <c r="DN27" s="10">
        <f t="shared" si="28"/>
        <v>1.2957734021269876</v>
      </c>
      <c r="DO27" s="25">
        <f t="shared" si="29"/>
        <v>1.3189577717879604</v>
      </c>
      <c r="DP27" s="10">
        <f t="shared" si="30"/>
        <v>1.176609981650399</v>
      </c>
      <c r="DQ27" s="25">
        <f t="shared" si="31"/>
        <v>1.1929012345679013</v>
      </c>
      <c r="DR27" s="10">
        <f t="shared" si="57"/>
        <v>1.2346574045115564</v>
      </c>
      <c r="DS27" s="25">
        <f t="shared" si="32"/>
        <v>1.2472067039106145</v>
      </c>
      <c r="DT27" s="10">
        <f t="shared" si="58"/>
        <v>1.167623087705649</v>
      </c>
      <c r="DU27" s="25">
        <f t="shared" si="59"/>
        <v>1.1820837390457644</v>
      </c>
      <c r="DV27" s="10">
        <f t="shared" si="33"/>
        <v>1.2115543477154518</v>
      </c>
      <c r="DW27" s="25">
        <f t="shared" si="34"/>
        <v>1.2160540135033759</v>
      </c>
      <c r="DX27" s="16"/>
      <c r="DY27" s="18">
        <f t="shared" si="35"/>
        <v>-5.1873470349971029E-2</v>
      </c>
      <c r="DZ27" s="26"/>
      <c r="EA27" s="27">
        <f t="shared" si="36"/>
        <v>-3.0026915498408746E-2</v>
      </c>
      <c r="EB27" s="19"/>
      <c r="EC27" s="17">
        <f t="shared" si="37"/>
        <v>6.472443278040263E-2</v>
      </c>
      <c r="ED27" s="19"/>
      <c r="EE27" s="17">
        <f t="shared" si="38"/>
        <v>2.9897585765399359E-2</v>
      </c>
      <c r="EF27" s="19"/>
      <c r="EG27" s="17">
        <f t="shared" si="39"/>
        <v>4.3724286072996943E-3</v>
      </c>
      <c r="EH27" s="19"/>
      <c r="EI27" s="17">
        <f t="shared" si="40"/>
        <v>2.0288044921536574E-2</v>
      </c>
      <c r="EJ27" s="19"/>
      <c r="EK27" s="17">
        <f t="shared" si="41"/>
        <v>-1.4283867152152796E-2</v>
      </c>
      <c r="EL27" s="19"/>
      <c r="EM27" s="17">
        <f t="shared" si="42"/>
        <v>8.1097840844936986E-3</v>
      </c>
      <c r="EN27" s="19"/>
      <c r="EO27" s="17">
        <f t="shared" si="43"/>
        <v>1.4367024601107392E-3</v>
      </c>
      <c r="EP27" s="19"/>
      <c r="EQ27" s="17">
        <f t="shared" si="44"/>
        <v>-1.1410924812903733E-2</v>
      </c>
      <c r="ER27" s="19"/>
      <c r="ES27" s="17">
        <f t="shared" si="45"/>
        <v>-9.2601907410738704E-4</v>
      </c>
      <c r="ET27" s="19"/>
      <c r="EU27" s="17">
        <f t="shared" si="46"/>
        <v>-3.0191425697492003E-2</v>
      </c>
      <c r="EV27" s="19"/>
      <c r="EW27" s="17">
        <f t="shared" si="47"/>
        <v>-2.0325826437990191E-2</v>
      </c>
      <c r="EX27" s="19"/>
      <c r="EY27" s="17">
        <f t="shared" si="48"/>
        <v>-2.3184369660972814E-2</v>
      </c>
      <c r="EZ27" s="19"/>
      <c r="FA27" s="17">
        <f t="shared" si="49"/>
        <v>-1.629125291750233E-2</v>
      </c>
      <c r="FB27" s="19"/>
      <c r="FC27" s="18">
        <f t="shared" si="50"/>
        <v>-1.2549299399058134E-2</v>
      </c>
      <c r="FD27" s="19"/>
      <c r="FE27" s="18">
        <f t="shared" si="60"/>
        <v>-1.4460651340115316E-2</v>
      </c>
      <c r="FF27" s="19"/>
      <c r="FG27" s="18">
        <f t="shared" si="61"/>
        <v>-4.4996657879241564E-3</v>
      </c>
    </row>
    <row r="28" spans="1:163" ht="15.75" hidden="1" outlineLevel="1" thickBot="1" x14ac:dyDescent="0.3">
      <c r="A28" s="832">
        <v>19</v>
      </c>
      <c r="B28" s="3">
        <v>49576</v>
      </c>
      <c r="C28" s="3">
        <v>267</v>
      </c>
      <c r="D28" s="20">
        <f>IFERROR(Tabelle3[[#This Row],[Ned (€)]]/Tabelle3[[#This Row],[Ned (Backer)]],"")</f>
        <v>185.67790262172284</v>
      </c>
      <c r="E28" s="8">
        <v>123542</v>
      </c>
      <c r="F28" s="8">
        <v>537</v>
      </c>
      <c r="G28" s="20">
        <f>Tabelle3[[#This Row],[Werkzeuge (€)]]/Tabelle3[[#This Row],[Werkzeuge (Backer)]]</f>
        <v>230.05959031657355</v>
      </c>
      <c r="H28" s="3">
        <v>101170</v>
      </c>
      <c r="I28" s="3">
        <v>549</v>
      </c>
      <c r="J28" s="358">
        <f>Tabelle3[[#This Row],[DSK Fasar (€)]]/Tabelle3[[#This Row],[DSK Fasar (Backer)]]</f>
        <v>184.28051001821493</v>
      </c>
      <c r="K28" s="3">
        <v>71433</v>
      </c>
      <c r="L28" s="3">
        <v>401</v>
      </c>
      <c r="M28" s="20">
        <f>Tabelle3[[#This Row],[Mythen (€)]]/Tabelle3[[#This Row],[Mythen (Backer)]]</f>
        <v>178.13715710723193</v>
      </c>
      <c r="N28" s="3">
        <v>212186</v>
      </c>
      <c r="O28" s="3">
        <v>1483</v>
      </c>
      <c r="P28" s="20">
        <f>Tabelle3[[#This Row],[SOK (€)]]/Tabelle3[[#This Row],[SOK (Backer)]]</f>
        <v>143.07889413351316</v>
      </c>
      <c r="Q28" s="3">
        <v>299641</v>
      </c>
      <c r="R28" s="3">
        <v>1290</v>
      </c>
      <c r="S28" s="20">
        <f>Tabelle3[[#This Row],[RE (€)]]/Tabelle3[[#This Row],[RE (Backer)]]</f>
        <v>232.27984496124031</v>
      </c>
      <c r="T28" s="3">
        <v>197700</v>
      </c>
      <c r="U28" s="3">
        <v>827</v>
      </c>
      <c r="V28" s="20">
        <f>Tabelle3[[#This Row],[DGG (€)]]/Tabelle3[[#This Row],[DGG (Backer)]]</f>
        <v>239.05683192261185</v>
      </c>
      <c r="W28" s="3">
        <v>91598</v>
      </c>
      <c r="X28" s="3">
        <v>519</v>
      </c>
      <c r="Y28" s="20">
        <f>Tabelle3[[#This Row],[DSK SV (€)]]/Tabelle3[[#This Row],[DSK SV (Backer)]]</f>
        <v>176.48940269749519</v>
      </c>
      <c r="Z28" s="3">
        <v>279921</v>
      </c>
      <c r="AA28" s="3">
        <v>1454</v>
      </c>
      <c r="AB28" s="20">
        <f>Tabelle3[[#This Row],[WW (€)]]/Tabelle3[[#This Row],[WW (Backer)]]</f>
        <v>192.51788170563961</v>
      </c>
      <c r="AC28" s="3">
        <v>26708</v>
      </c>
      <c r="AD28" s="3">
        <v>198</v>
      </c>
      <c r="AE28" s="20">
        <f>Tabelle3[[#This Row],[DSK R (€)]]/Tabelle3[[#This Row],[DSK R (Backer)]]</f>
        <v>134.88888888888889</v>
      </c>
      <c r="AF28" s="3">
        <v>197561</v>
      </c>
      <c r="AG28" s="3">
        <v>900</v>
      </c>
      <c r="AH28" s="20">
        <f>Tabelle3[[#This Row],[Ära (€)]]/Tabelle3[[#This Row],[Ära (Backer)]]</f>
        <v>219.51222222222222</v>
      </c>
      <c r="AI28" s="3">
        <v>71736</v>
      </c>
      <c r="AJ28" s="3">
        <v>973</v>
      </c>
      <c r="AK28" s="20">
        <f>Tabelle3[[#This Row],[Mosaik (€)]]/Tabelle3[[#This Row],[Mosaik (Backer)]]</f>
        <v>73.726618705035975</v>
      </c>
      <c r="AL28" s="3">
        <v>55221</v>
      </c>
      <c r="AM28" s="3">
        <v>368</v>
      </c>
      <c r="AN28" s="20">
        <f>Tabelle3[[#This Row],[DSK ES (€)]]/Tabelle3[[#This Row],[DSK ES (Backer)]]</f>
        <v>150.05706521739131</v>
      </c>
      <c r="AO28" s="3">
        <v>252845</v>
      </c>
      <c r="AP28" s="3">
        <v>1192</v>
      </c>
      <c r="AQ28" s="20">
        <f>Tabelle3[[#This Row],[ES (€)]]/Tabelle3[[#This Row],[ES (Backer)]]</f>
        <v>212.11828859060404</v>
      </c>
      <c r="AR28" s="3">
        <v>300668.59000000003</v>
      </c>
      <c r="AS28" s="3">
        <v>1340</v>
      </c>
      <c r="AT28" s="20">
        <f>Tabelle3[[#This Row],[WF (€)]]/Tabelle3[[#This Row],[WF(Backer)]]</f>
        <v>224.37954477611942</v>
      </c>
      <c r="AU28" s="3">
        <v>470532</v>
      </c>
      <c r="AV28" s="3">
        <v>2221</v>
      </c>
      <c r="AW28" s="20">
        <f>Tabelle3[[#This Row],[AKM (€)]]/Tabelle3[[#This Row],[AKM(Backer)]]</f>
        <v>211.85592075641603</v>
      </c>
      <c r="AX28" s="3">
        <v>307874</v>
      </c>
      <c r="AY28" s="3">
        <v>1061</v>
      </c>
      <c r="AZ28" s="20">
        <f>Tabelle3[[#This Row],[Lex (€)]]/Tabelle3[[#This Row],[Lex(Backer)]]</f>
        <v>290.17342130065975</v>
      </c>
      <c r="BA28" s="3">
        <v>300262</v>
      </c>
      <c r="BB28" s="3">
        <v>1363</v>
      </c>
      <c r="BC28" s="20">
        <f>Tabelle3[[#This Row],[KA (€)]]/Tabelle3[[#This Row],[KA (Backer)]]</f>
        <v>220.2949376375642</v>
      </c>
      <c r="BD28" s="831">
        <f>'Übersicht &amp; Anleitung'!AR75</f>
        <v>285261</v>
      </c>
      <c r="BE28" s="831">
        <f>'Übersicht &amp; Anleitung'!AS75</f>
        <v>1516</v>
      </c>
      <c r="BF28" s="20">
        <f>Tabelle3[[#This Row],[MAR (€)]]/Tabelle3[[#This Row],[MAR (Backer)]]</f>
        <v>188.16688654353561</v>
      </c>
      <c r="BQ28" s="834" t="s">
        <v>158</v>
      </c>
      <c r="BR28" s="6">
        <f t="shared" si="62"/>
        <v>321413.02487911546</v>
      </c>
      <c r="BS28" s="6">
        <f t="shared" si="63"/>
        <v>1701.027646662171</v>
      </c>
      <c r="BT28" s="21">
        <f t="shared" ref="BT28:BT29" si="153">BR28/BS28</f>
        <v>188.95226395044537</v>
      </c>
      <c r="BU28" s="6">
        <f t="shared" si="65"/>
        <v>394152.09370902204</v>
      </c>
      <c r="BV28" s="6">
        <f t="shared" si="66"/>
        <v>2134.2569832402237</v>
      </c>
      <c r="BW28" s="21">
        <f t="shared" ref="BW28:BW29" si="154">BU28/BV28</f>
        <v>184.67883521253438</v>
      </c>
      <c r="BX28" s="3">
        <f t="shared" ref="BX28:BX29" si="155">AVERAGE(BR28,BU28)</f>
        <v>357782.55929406872</v>
      </c>
      <c r="BY28" s="3">
        <f t="shared" ref="BY28:BY29" si="156">AVERAGE(BS28,BV28)</f>
        <v>1917.6423149511975</v>
      </c>
      <c r="BZ28" s="21">
        <f t="shared" ref="BZ28:BZ29" si="157">BX28/BY28</f>
        <v>186.5741887861783</v>
      </c>
      <c r="CA28" s="3">
        <f t="shared" si="71"/>
        <v>348244.69642941759</v>
      </c>
      <c r="CB28" s="3">
        <f t="shared" si="72"/>
        <v>1857.341819397368</v>
      </c>
      <c r="CC28" s="21">
        <f t="shared" ref="CC28:CC29" si="158">CA28/CB28</f>
        <v>187.49628786283876</v>
      </c>
      <c r="CE28" s="834" t="s">
        <v>158</v>
      </c>
      <c r="CF28" s="14">
        <f t="shared" si="74"/>
        <v>1.1267331492181387</v>
      </c>
      <c r="CG28" s="14">
        <f t="shared" si="53"/>
        <v>1.1220498988536749</v>
      </c>
      <c r="CH28" s="253">
        <f t="shared" si="75"/>
        <v>1.3817244337957941</v>
      </c>
      <c r="CI28" s="253">
        <f t="shared" si="54"/>
        <v>1.4078212290502794</v>
      </c>
      <c r="CJ28" s="253">
        <f t="shared" si="76"/>
        <v>1.2207932259559406</v>
      </c>
      <c r="CK28" s="253">
        <f t="shared" si="55"/>
        <v>1.2251595114758365</v>
      </c>
      <c r="CL28" s="253">
        <f t="shared" si="56"/>
        <v>0.25499128457765541</v>
      </c>
      <c r="CM28" s="253">
        <f t="shared" si="3"/>
        <v>0.2857713301966045</v>
      </c>
      <c r="CN28" s="15">
        <f t="shared" si="4"/>
        <v>1.2575641439406164</v>
      </c>
      <c r="CO28" s="7">
        <f t="shared" si="5"/>
        <v>1.2996254681647941</v>
      </c>
      <c r="CP28" s="10">
        <f t="shared" si="6"/>
        <v>1.3817244337957941</v>
      </c>
      <c r="CQ28" s="11">
        <f t="shared" si="7"/>
        <v>1.4078212290502794</v>
      </c>
      <c r="CR28" s="10">
        <f t="shared" si="8"/>
        <v>1.2226351685282197</v>
      </c>
      <c r="CS28" s="25">
        <f t="shared" si="9"/>
        <v>1.1985428051001821</v>
      </c>
      <c r="CT28" s="10">
        <f t="shared" si="10"/>
        <v>1.2597958926546553</v>
      </c>
      <c r="CU28" s="25">
        <f t="shared" si="11"/>
        <v>1.2394014962593516</v>
      </c>
      <c r="CV28" s="10">
        <f t="shared" si="12"/>
        <v>1.1267331492181387</v>
      </c>
      <c r="CW28" s="25">
        <f t="shared" si="13"/>
        <v>1.1220498988536749</v>
      </c>
      <c r="CX28" s="10">
        <f t="shared" si="14"/>
        <v>1.3032495553011771</v>
      </c>
      <c r="CY28" s="25">
        <f t="shared" si="15"/>
        <v>1.2852713178294575</v>
      </c>
      <c r="CZ28" s="10">
        <f t="shared" si="16"/>
        <v>1.1706120384420839</v>
      </c>
      <c r="DA28" s="25">
        <f t="shared" si="17"/>
        <v>1.1789600967351874</v>
      </c>
      <c r="DB28" s="10">
        <f t="shared" si="18"/>
        <v>1.2567195790301098</v>
      </c>
      <c r="DC28" s="25">
        <f t="shared" si="19"/>
        <v>1.2427745664739884</v>
      </c>
      <c r="DD28" s="10">
        <f t="shared" si="20"/>
        <v>1.1590234387559346</v>
      </c>
      <c r="DE28" s="25">
        <f t="shared" si="21"/>
        <v>1.1554332874828062</v>
      </c>
      <c r="DF28" s="10">
        <f t="shared" si="22"/>
        <v>1.3571963456642204</v>
      </c>
      <c r="DG28" s="25">
        <f t="shared" si="23"/>
        <v>1.3585858585858586</v>
      </c>
      <c r="DH28" s="10">
        <f t="shared" si="24"/>
        <v>1.2614787331507737</v>
      </c>
      <c r="DI28" s="25">
        <f t="shared" si="25"/>
        <v>1.2622222222222221</v>
      </c>
      <c r="DJ28" s="10">
        <f t="shared" si="26"/>
        <v>1.1716153674584588</v>
      </c>
      <c r="DK28" s="25">
        <f t="shared" si="27"/>
        <v>1.1891058581706064</v>
      </c>
      <c r="DL28" s="10">
        <f t="shared" si="97"/>
        <v>1.1341156444106408</v>
      </c>
      <c r="DM28" s="25">
        <f t="shared" si="98"/>
        <v>1.1548913043478262</v>
      </c>
      <c r="DN28" s="10">
        <f t="shared" si="28"/>
        <v>1.216749391919951</v>
      </c>
      <c r="DO28" s="25">
        <f t="shared" si="29"/>
        <v>1.2315436241610738</v>
      </c>
      <c r="DP28" s="10">
        <f t="shared" si="30"/>
        <v>1.1374869586477256</v>
      </c>
      <c r="DQ28" s="25">
        <f t="shared" si="31"/>
        <v>1.1537313432835821</v>
      </c>
      <c r="DR28" s="10">
        <f t="shared" si="57"/>
        <v>1.1913673033927552</v>
      </c>
      <c r="DS28" s="25">
        <f t="shared" si="32"/>
        <v>1.2062134173795587</v>
      </c>
      <c r="DT28" s="10">
        <f t="shared" si="58"/>
        <v>1.1309416839356359</v>
      </c>
      <c r="DU28" s="25">
        <f t="shared" si="59"/>
        <v>1.1442035815268614</v>
      </c>
      <c r="DV28" s="10">
        <f t="shared" si="33"/>
        <v>1.1892771646095743</v>
      </c>
      <c r="DW28" s="25">
        <f t="shared" si="34"/>
        <v>1.1892883345561263</v>
      </c>
      <c r="DX28" s="16"/>
      <c r="DY28" s="18">
        <f t="shared" si="35"/>
        <v>-4.2061324224177632E-2</v>
      </c>
      <c r="DZ28" s="26"/>
      <c r="EA28" s="27">
        <f t="shared" si="36"/>
        <v>-2.6096795254485272E-2</v>
      </c>
      <c r="EB28" s="19"/>
      <c r="EC28" s="17">
        <f t="shared" si="37"/>
        <v>2.4092363428037666E-2</v>
      </c>
      <c r="ED28" s="19"/>
      <c r="EE28" s="17">
        <f t="shared" si="38"/>
        <v>2.0394396395303716E-2</v>
      </c>
      <c r="EF28" s="19"/>
      <c r="EG28" s="17">
        <f t="shared" si="39"/>
        <v>4.6832503644638201E-3</v>
      </c>
      <c r="EH28" s="19"/>
      <c r="EI28" s="17">
        <f t="shared" si="40"/>
        <v>1.7978237471719671E-2</v>
      </c>
      <c r="EJ28" s="19"/>
      <c r="EK28" s="17">
        <f t="shared" si="41"/>
        <v>-8.3480582931034775E-3</v>
      </c>
      <c r="EL28" s="19"/>
      <c r="EM28" s="17">
        <f t="shared" si="42"/>
        <v>1.394501255612135E-2</v>
      </c>
      <c r="EN28" s="19"/>
      <c r="EO28" s="17">
        <f t="shared" si="43"/>
        <v>3.5901512731284502E-3</v>
      </c>
      <c r="EP28" s="19"/>
      <c r="EQ28" s="17">
        <f t="shared" si="44"/>
        <v>-1.3895129216381363E-3</v>
      </c>
      <c r="ER28" s="19"/>
      <c r="ES28" s="17">
        <f t="shared" si="45"/>
        <v>-7.4348907144838883E-4</v>
      </c>
      <c r="ET28" s="19"/>
      <c r="EU28" s="17">
        <f t="shared" si="46"/>
        <v>-1.7490490712147588E-2</v>
      </c>
      <c r="EV28" s="19"/>
      <c r="EW28" s="17">
        <f t="shared" si="47"/>
        <v>-2.0775659937185331E-2</v>
      </c>
      <c r="EX28" s="19"/>
      <c r="EY28" s="17">
        <f t="shared" si="48"/>
        <v>-1.4794232241122751E-2</v>
      </c>
      <c r="EZ28" s="19"/>
      <c r="FA28" s="17">
        <f t="shared" si="49"/>
        <v>-1.6244384635856424E-2</v>
      </c>
      <c r="FB28" s="19"/>
      <c r="FC28" s="18">
        <f t="shared" si="50"/>
        <v>-1.4846113986803466E-2</v>
      </c>
      <c r="FD28" s="19"/>
      <c r="FE28" s="18">
        <f t="shared" si="60"/>
        <v>-1.3261897591225535E-2</v>
      </c>
      <c r="FF28" s="19"/>
      <c r="FG28" s="18">
        <f t="shared" si="61"/>
        <v>-1.1169946551925491E-5</v>
      </c>
    </row>
    <row r="29" spans="1:163" s="9" customFormat="1" ht="15.75" hidden="1" outlineLevel="1" thickBot="1" x14ac:dyDescent="0.3">
      <c r="A29" s="12">
        <v>20</v>
      </c>
      <c r="B29" s="8">
        <v>54612</v>
      </c>
      <c r="C29" s="8">
        <v>300</v>
      </c>
      <c r="D29" s="20">
        <f>IFERROR(Tabelle3[[#This Row],[Ned (€)]]/Tabelle3[[#This Row],[Ned (Backer)]],"")</f>
        <v>182.04</v>
      </c>
      <c r="E29" s="8">
        <v>130324</v>
      </c>
      <c r="F29" s="8">
        <v>576</v>
      </c>
      <c r="G29" s="20">
        <f>Tabelle3[[#This Row],[Werkzeuge (€)]]/Tabelle3[[#This Row],[Werkzeuge (Backer)]]</f>
        <v>226.25694444444446</v>
      </c>
      <c r="H29" s="8">
        <v>108862</v>
      </c>
      <c r="I29" s="8">
        <v>584</v>
      </c>
      <c r="J29" s="20">
        <f>Tabelle3[[#This Row],[DSK Fasar (€)]]/Tabelle3[[#This Row],[DSK Fasar (Backer)]]</f>
        <v>186.40753424657535</v>
      </c>
      <c r="K29" s="3">
        <v>78993</v>
      </c>
      <c r="L29" s="3">
        <v>440</v>
      </c>
      <c r="M29" s="20">
        <f>Tabelle3[[#This Row],[Mythen (€)]]/Tabelle3[[#This Row],[Mythen (Backer)]]</f>
        <v>179.52954545454546</v>
      </c>
      <c r="N29" s="3">
        <v>220897</v>
      </c>
      <c r="O29" s="3">
        <v>1545</v>
      </c>
      <c r="P29" s="20">
        <f>Tabelle3[[#This Row],[SOK (€)]]/Tabelle3[[#This Row],[SOK (Backer)]]</f>
        <v>142.97540453074433</v>
      </c>
      <c r="Q29" s="3">
        <v>330836</v>
      </c>
      <c r="R29" s="3">
        <v>1421</v>
      </c>
      <c r="S29" s="20">
        <f>Tabelle3[[#This Row],[RE (€)]]/Tabelle3[[#This Row],[RE (Backer)]]</f>
        <v>232.81914144968331</v>
      </c>
      <c r="T29" s="3">
        <v>205967</v>
      </c>
      <c r="U29" s="3">
        <v>863</v>
      </c>
      <c r="V29" s="20">
        <f>Tabelle3[[#This Row],[DGG (€)]]/Tabelle3[[#This Row],[DGG (Backer)]]</f>
        <v>238.66396292004634</v>
      </c>
      <c r="W29" s="3">
        <v>99702</v>
      </c>
      <c r="X29" s="3">
        <v>558</v>
      </c>
      <c r="Y29" s="358">
        <f>Tabelle3[[#This Row],[DSK SV (€)]]/Tabelle3[[#This Row],[DSK SV (Backer)]]</f>
        <v>178.67741935483872</v>
      </c>
      <c r="Z29" s="3">
        <v>295660</v>
      </c>
      <c r="AA29" s="3">
        <v>1533</v>
      </c>
      <c r="AB29" s="20">
        <f>Tabelle3[[#This Row],[WW (€)]]/Tabelle3[[#This Row],[WW (Backer)]]</f>
        <v>192.86366601435094</v>
      </c>
      <c r="AC29" s="3">
        <v>30138</v>
      </c>
      <c r="AD29" s="3">
        <v>227</v>
      </c>
      <c r="AE29" s="20">
        <f>Tabelle3[[#This Row],[DSK R (€)]]/Tabelle3[[#This Row],[DSK R (Backer)]]</f>
        <v>132.76651982378854</v>
      </c>
      <c r="AF29" s="3">
        <v>214259</v>
      </c>
      <c r="AG29" s="3">
        <v>985</v>
      </c>
      <c r="AH29" s="20">
        <f>Tabelle3[[#This Row],[Ära (€)]]/Tabelle3[[#This Row],[Ära (Backer)]]</f>
        <v>217.52182741116752</v>
      </c>
      <c r="AI29" s="3">
        <v>76619</v>
      </c>
      <c r="AJ29" s="3">
        <v>1053</v>
      </c>
      <c r="AK29" s="20">
        <f>Tabelle3[[#This Row],[Mosaik (€)]]/Tabelle3[[#This Row],[Mosaik (Backer)]]</f>
        <v>72.762583095916426</v>
      </c>
      <c r="AL29" s="3">
        <v>58568</v>
      </c>
      <c r="AM29" s="3">
        <v>392</v>
      </c>
      <c r="AN29" s="20">
        <f>Tabelle3[[#This Row],[DSK ES (€)]]/Tabelle3[[#This Row],[DSK ES (Backer)]]</f>
        <v>149.40816326530611</v>
      </c>
      <c r="AO29" s="3">
        <v>273235</v>
      </c>
      <c r="AP29" s="3">
        <v>1301</v>
      </c>
      <c r="AQ29" s="20">
        <f>Tabelle3[[#This Row],[ES (€)]]/Tabelle3[[#This Row],[ES (Backer)]]</f>
        <v>210.01921598770176</v>
      </c>
      <c r="AR29" s="3">
        <v>314352.75</v>
      </c>
      <c r="AS29" s="3">
        <v>1403</v>
      </c>
      <c r="AT29" s="20">
        <f>Tabelle3[[#This Row],[WF (€)]]/Tabelle3[[#This Row],[WF(Backer)]]</f>
        <v>224.05755523877406</v>
      </c>
      <c r="AU29" s="3">
        <v>507150</v>
      </c>
      <c r="AV29" s="3">
        <v>2404</v>
      </c>
      <c r="AW29" s="20">
        <f>Tabelle3[[#This Row],[AKM (€)]]/Tabelle3[[#This Row],[AKM(Backer)]]</f>
        <v>210.96089850249584</v>
      </c>
      <c r="AX29" s="3">
        <v>324153</v>
      </c>
      <c r="AY29" s="3">
        <v>1120</v>
      </c>
      <c r="AZ29" s="20">
        <f>Tabelle3[[#This Row],[Lex (€)]]/Tabelle3[[#This Row],[Lex(Backer)]]</f>
        <v>289.42232142857142</v>
      </c>
      <c r="BA29" s="3">
        <v>321230</v>
      </c>
      <c r="BB29" s="3">
        <v>1464</v>
      </c>
      <c r="BC29" s="20">
        <f>Tabelle3[[#This Row],[KA (€)]]/Tabelle3[[#This Row],[KA (Backer)]]</f>
        <v>219.41939890710381</v>
      </c>
      <c r="BD29" s="3">
        <f>'Übersicht &amp; Anleitung'!AR76</f>
        <v>301845</v>
      </c>
      <c r="BE29" s="3">
        <f>'Übersicht &amp; Anleitung'!AS76</f>
        <v>1607</v>
      </c>
      <c r="BF29" s="20">
        <f>Tabelle3[[#This Row],[MAR (€)]]/Tabelle3[[#This Row],[MAR (Backer)]]</f>
        <v>187.83136278780336</v>
      </c>
      <c r="BG29"/>
      <c r="BH29"/>
      <c r="BI29"/>
      <c r="BJ29"/>
      <c r="BK29"/>
      <c r="BL29"/>
      <c r="BM29"/>
      <c r="BN29"/>
      <c r="BO29"/>
      <c r="BP29" s="167"/>
      <c r="BQ29" s="167" t="s">
        <v>159</v>
      </c>
      <c r="BR29" s="6">
        <f t="shared" si="62"/>
        <v>324225.49848775112</v>
      </c>
      <c r="BS29" s="6">
        <f t="shared" si="63"/>
        <v>1730.7754045307445</v>
      </c>
      <c r="BT29" s="21">
        <f t="shared" si="153"/>
        <v>187.32961979873789</v>
      </c>
      <c r="BU29" s="6">
        <f t="shared" si="65"/>
        <v>395362.66033117456</v>
      </c>
      <c r="BV29" s="6">
        <f t="shared" si="66"/>
        <v>2109.1875</v>
      </c>
      <c r="BW29" s="21">
        <f t="shared" si="154"/>
        <v>187.44784915099987</v>
      </c>
      <c r="BX29" s="3">
        <f t="shared" si="155"/>
        <v>359794.07940946287</v>
      </c>
      <c r="BY29" s="3">
        <f t="shared" si="156"/>
        <v>1919.9814522653724</v>
      </c>
      <c r="BZ29" s="21">
        <f t="shared" si="157"/>
        <v>187.3945599760583</v>
      </c>
      <c r="CA29" s="3">
        <f t="shared" si="71"/>
        <v>342779.36897257291</v>
      </c>
      <c r="CB29" s="3">
        <f t="shared" si="72"/>
        <v>1824.9947403425449</v>
      </c>
      <c r="CC29" s="21">
        <f t="shared" si="158"/>
        <v>187.8248530777872</v>
      </c>
      <c r="CD29" s="167"/>
      <c r="CE29" s="167" t="s">
        <v>159</v>
      </c>
      <c r="CF29" s="14">
        <f t="shared" si="74"/>
        <v>1.0741456657812822</v>
      </c>
      <c r="CG29" s="14">
        <f t="shared" si="53"/>
        <v>1.0770226537216829</v>
      </c>
      <c r="CH29" s="253">
        <f t="shared" si="75"/>
        <v>1.3098201405727263</v>
      </c>
      <c r="CI29" s="253">
        <f t="shared" si="54"/>
        <v>1.3125</v>
      </c>
      <c r="CJ29" s="253">
        <f t="shared" si="76"/>
        <v>1.1356138712669512</v>
      </c>
      <c r="CK29" s="253">
        <f t="shared" si="55"/>
        <v>1.1356532298335686</v>
      </c>
      <c r="CL29" s="253">
        <f t="shared" si="56"/>
        <v>0.2356744747914441</v>
      </c>
      <c r="CM29" s="253">
        <f t="shared" si="3"/>
        <v>0.23547734627831707</v>
      </c>
      <c r="CN29" s="15">
        <f t="shared" si="4"/>
        <v>1.14159891598916</v>
      </c>
      <c r="CO29" s="7">
        <f t="shared" si="5"/>
        <v>1.1566666666666667</v>
      </c>
      <c r="CP29" s="10">
        <f t="shared" si="6"/>
        <v>1.3098201405727263</v>
      </c>
      <c r="CQ29" s="11">
        <f t="shared" si="7"/>
        <v>1.3125</v>
      </c>
      <c r="CR29" s="10">
        <f t="shared" si="8"/>
        <v>1.136245889291029</v>
      </c>
      <c r="CS29" s="25">
        <f t="shared" si="9"/>
        <v>1.1267123287671232</v>
      </c>
      <c r="CT29" s="10">
        <f t="shared" si="10"/>
        <v>1.1392275264896889</v>
      </c>
      <c r="CU29" s="25">
        <f t="shared" si="11"/>
        <v>1.1295454545454546</v>
      </c>
      <c r="CV29" s="10">
        <f t="shared" si="12"/>
        <v>1.0823008008257242</v>
      </c>
      <c r="CW29" s="25">
        <f t="shared" si="13"/>
        <v>1.0770226537216829</v>
      </c>
      <c r="CX29" s="10">
        <f t="shared" si="14"/>
        <v>1.1803642892550992</v>
      </c>
      <c r="CY29" s="25">
        <f t="shared" si="15"/>
        <v>1.1667839549612948</v>
      </c>
      <c r="CZ29" s="10">
        <f t="shared" si="16"/>
        <v>1.1236266003777304</v>
      </c>
      <c r="DA29" s="25">
        <f t="shared" si="17"/>
        <v>1.1297798377752029</v>
      </c>
      <c r="DB29" s="10">
        <f t="shared" si="18"/>
        <v>1.1545706204489379</v>
      </c>
      <c r="DC29" s="25">
        <f t="shared" si="19"/>
        <v>1.1559139784946237</v>
      </c>
      <c r="DD29" s="10">
        <f t="shared" si="20"/>
        <v>1.0973246296421566</v>
      </c>
      <c r="DE29" s="25">
        <f t="shared" si="21"/>
        <v>1.095890410958904</v>
      </c>
      <c r="DF29" s="10">
        <f t="shared" si="22"/>
        <v>1.2027340898533414</v>
      </c>
      <c r="DG29" s="25">
        <f t="shared" si="23"/>
        <v>1.1850220264317182</v>
      </c>
      <c r="DH29" s="10">
        <f t="shared" si="24"/>
        <v>1.1631670081536831</v>
      </c>
      <c r="DI29" s="25">
        <f t="shared" si="25"/>
        <v>1.1532994923857869</v>
      </c>
      <c r="DJ29" s="10">
        <f t="shared" si="26"/>
        <v>1.0969472324097156</v>
      </c>
      <c r="DK29" s="25">
        <f t="shared" si="27"/>
        <v>1.0987654320987654</v>
      </c>
      <c r="DL29" s="10">
        <f t="shared" si="97"/>
        <v>1.0693040568228385</v>
      </c>
      <c r="DM29" s="25">
        <f t="shared" si="98"/>
        <v>1.0841836734693877</v>
      </c>
      <c r="DN29" s="10">
        <f t="shared" si="28"/>
        <v>1.1259501893974051</v>
      </c>
      <c r="DO29" s="25">
        <f t="shared" si="29"/>
        <v>1.1283627978478095</v>
      </c>
      <c r="DP29" s="10">
        <f t="shared" si="30"/>
        <v>1.0879707589642527</v>
      </c>
      <c r="DQ29" s="25">
        <f t="shared" si="31"/>
        <v>1.1019244476122594</v>
      </c>
      <c r="DR29" s="10">
        <f t="shared" si="57"/>
        <v>1.1053464261066746</v>
      </c>
      <c r="DS29" s="25">
        <f t="shared" si="32"/>
        <v>1.1143926788685523</v>
      </c>
      <c r="DT29" s="10">
        <f t="shared" si="58"/>
        <v>1.0741456657812822</v>
      </c>
      <c r="DU29" s="25">
        <f t="shared" si="59"/>
        <v>1.0839285714285714</v>
      </c>
      <c r="DV29" s="10">
        <f t="shared" si="33"/>
        <v>1.1116481648662953</v>
      </c>
      <c r="DW29" s="25">
        <f t="shared" si="34"/>
        <v>1.1072404371584699</v>
      </c>
      <c r="DX29" s="16"/>
      <c r="DY29" s="18">
        <f t="shared" si="35"/>
        <v>-1.5067750677506764E-2</v>
      </c>
      <c r="DZ29" s="26"/>
      <c r="EA29" s="27">
        <f t="shared" si="36"/>
        <v>-2.6798594272736675E-3</v>
      </c>
      <c r="EB29" s="19"/>
      <c r="EC29" s="17">
        <f t="shared" si="37"/>
        <v>9.5335605239057486E-3</v>
      </c>
      <c r="ED29" s="19"/>
      <c r="EE29" s="17">
        <f t="shared" si="38"/>
        <v>9.6820719442343162E-3</v>
      </c>
      <c r="EF29" s="19"/>
      <c r="EG29" s="17">
        <f t="shared" si="39"/>
        <v>5.2781471040412864E-3</v>
      </c>
      <c r="EH29" s="19"/>
      <c r="EI29" s="17">
        <f t="shared" si="40"/>
        <v>1.3580334293804341E-2</v>
      </c>
      <c r="EJ29" s="19"/>
      <c r="EK29" s="17">
        <f t="shared" si="41"/>
        <v>-6.1532373974724219E-3</v>
      </c>
      <c r="EL29" s="19"/>
      <c r="EM29" s="17">
        <f t="shared" si="42"/>
        <v>-1.3433580456858607E-3</v>
      </c>
      <c r="EN29" s="19"/>
      <c r="EO29" s="17">
        <f t="shared" si="43"/>
        <v>1.4342186832525528E-3</v>
      </c>
      <c r="EP29" s="19"/>
      <c r="EQ29" s="17">
        <f t="shared" si="44"/>
        <v>1.7712063421623236E-2</v>
      </c>
      <c r="ER29" s="19"/>
      <c r="ES29" s="17">
        <f t="shared" si="45"/>
        <v>9.86751576789624E-3</v>
      </c>
      <c r="ET29" s="19"/>
      <c r="EU29" s="17">
        <f t="shared" si="46"/>
        <v>-1.8181996890498375E-3</v>
      </c>
      <c r="EV29" s="19"/>
      <c r="EW29" s="17">
        <f t="shared" si="47"/>
        <v>-1.4879616646549243E-2</v>
      </c>
      <c r="EX29" s="19"/>
      <c r="EY29" s="17">
        <f t="shared" si="48"/>
        <v>-2.4126084504043632E-3</v>
      </c>
      <c r="EZ29" s="19"/>
      <c r="FA29" s="17">
        <f t="shared" si="49"/>
        <v>-1.3953688648006723E-2</v>
      </c>
      <c r="FB29" s="19"/>
      <c r="FC29" s="18">
        <f t="shared" si="50"/>
        <v>-9.04625276187776E-3</v>
      </c>
      <c r="FD29" s="19"/>
      <c r="FE29" s="18">
        <f t="shared" si="60"/>
        <v>-9.7829056472891196E-3</v>
      </c>
      <c r="FF29" s="19"/>
      <c r="FG29" s="18">
        <f t="shared" si="61"/>
        <v>4.4077277078253818E-3</v>
      </c>
    </row>
    <row r="30" spans="1:163" ht="15.75" hidden="1" outlineLevel="1" thickBot="1" x14ac:dyDescent="0.3">
      <c r="A30" s="12">
        <v>21</v>
      </c>
      <c r="B30" s="3">
        <v>62345</v>
      </c>
      <c r="C30" s="3">
        <v>347</v>
      </c>
      <c r="D30" s="20">
        <f>IFERROR(Tabelle3[[#This Row],[Ned (€)]]/Tabelle3[[#This Row],[Ned (Backer)]],"")</f>
        <v>179.6685878962536</v>
      </c>
      <c r="E30" s="8">
        <v>170701</v>
      </c>
      <c r="F30" s="8">
        <v>756</v>
      </c>
      <c r="G30" s="20">
        <f>Tabelle3[[#This Row],[Werkzeuge (€)]]/Tabelle3[[#This Row],[Werkzeuge (Backer)]]</f>
        <v>225.79497354497354</v>
      </c>
      <c r="H30" s="8">
        <v>123694</v>
      </c>
      <c r="I30" s="8">
        <v>658</v>
      </c>
      <c r="J30" s="20">
        <f>Tabelle3[[#This Row],[DSK Fasar (€)]]/Tabelle3[[#This Row],[DSK Fasar (Backer)]]</f>
        <v>187.98480243161094</v>
      </c>
      <c r="K30" s="3">
        <v>89991</v>
      </c>
      <c r="L30" s="3">
        <v>497</v>
      </c>
      <c r="M30" s="20">
        <f>Tabelle3[[#This Row],[Mythen (€)]]/Tabelle3[[#This Row],[Mythen (Backer)]]</f>
        <v>181.06841046277665</v>
      </c>
      <c r="N30" s="3">
        <v>239077</v>
      </c>
      <c r="O30" s="3">
        <v>1664</v>
      </c>
      <c r="P30" s="358">
        <f>Tabelle3[[#This Row],[SOK (€)]]/Tabelle3[[#This Row],[SOK (Backer)]]</f>
        <v>143.67608173076923</v>
      </c>
      <c r="Q30" s="3">
        <v>390507</v>
      </c>
      <c r="R30" s="3">
        <v>1658</v>
      </c>
      <c r="S30" s="20">
        <f>Tabelle3[[#This Row],[RE (€)]]/Tabelle3[[#This Row],[RE (Backer)]]</f>
        <v>235.52895054282268</v>
      </c>
      <c r="T30" s="3">
        <v>231430</v>
      </c>
      <c r="U30" s="3">
        <v>975</v>
      </c>
      <c r="V30" s="20">
        <f>Tabelle3[[#This Row],[DGG (€)]]/Tabelle3[[#This Row],[DGG (Backer)]]</f>
        <v>237.36410256410255</v>
      </c>
      <c r="W30" s="3">
        <v>115113</v>
      </c>
      <c r="X30" s="3">
        <v>645</v>
      </c>
      <c r="Y30" s="20">
        <f>Tabelle3[[#This Row],[DSK SV (€)]]/Tabelle3[[#This Row],[DSK SV (Backer)]]</f>
        <v>178.46976744186045</v>
      </c>
      <c r="Z30" s="3">
        <v>324435</v>
      </c>
      <c r="AA30" s="3">
        <v>1680</v>
      </c>
      <c r="AB30" s="358">
        <f>Tabelle3[[#This Row],[WW (€)]]/Tabelle3[[#This Row],[WW (Backer)]]</f>
        <v>193.11607142857142</v>
      </c>
      <c r="AC30" s="3">
        <v>36248</v>
      </c>
      <c r="AD30" s="3">
        <v>269</v>
      </c>
      <c r="AE30" s="358">
        <f>Tabelle3[[#This Row],[DSK R (€)]]/Tabelle3[[#This Row],[DSK R (Backer)]]</f>
        <v>134.75092936802974</v>
      </c>
      <c r="AF30" s="3">
        <v>249219</v>
      </c>
      <c r="AG30" s="3">
        <v>1136</v>
      </c>
      <c r="AH30" s="358">
        <f>Tabelle3[[#This Row],[Ära (€)]]/Tabelle3[[#This Row],[Ära (Backer)]]</f>
        <v>219.38292253521126</v>
      </c>
      <c r="AI30" s="3">
        <v>84047</v>
      </c>
      <c r="AJ30" s="3">
        <v>1157</v>
      </c>
      <c r="AK30" s="20">
        <f>Tabelle3[[#This Row],[Mosaik (€)]]/Tabelle3[[#This Row],[Mosaik (Backer)]]</f>
        <v>72.642178046672427</v>
      </c>
      <c r="AL30" s="3">
        <v>62627</v>
      </c>
      <c r="AM30" s="3">
        <v>425</v>
      </c>
      <c r="AN30" s="20">
        <f>Tabelle3[[#This Row],[DSK ES (€)]]/Tabelle3[[#This Row],[DSK ES (Backer)]]</f>
        <v>147.35764705882352</v>
      </c>
      <c r="AO30" s="3">
        <v>307649</v>
      </c>
      <c r="AP30" s="3">
        <v>1468</v>
      </c>
      <c r="AQ30" s="20">
        <f>Tabelle3[[#This Row],[ES (€)]]/Tabelle3[[#This Row],[ES (Backer)]]</f>
        <v>209.57016348773843</v>
      </c>
      <c r="AR30" s="3">
        <v>342006.6</v>
      </c>
      <c r="AS30" s="3">
        <v>1546</v>
      </c>
      <c r="AT30" s="20">
        <f>Tabelle3[[#This Row],[WF (€)]]/Tabelle3[[#This Row],[WF(Backer)]]</f>
        <v>221.22031047865457</v>
      </c>
      <c r="AU30" s="3">
        <v>560576.43999999994</v>
      </c>
      <c r="AV30" s="3">
        <v>2679</v>
      </c>
      <c r="AW30" s="20">
        <f>Tabelle3[[#This Row],[AKM (€)]]/Tabelle3[[#This Row],[AKM(Backer)]]</f>
        <v>209.24839119074278</v>
      </c>
      <c r="AX30" s="3">
        <v>348187.54</v>
      </c>
      <c r="AY30" s="3">
        <v>1214</v>
      </c>
      <c r="AZ30" s="20">
        <f>Tabelle3[[#This Row],[Lex (€)]]/Tabelle3[[#This Row],[Lex(Backer)]]</f>
        <v>286.81016474464576</v>
      </c>
      <c r="BA30" s="3">
        <v>357094.74</v>
      </c>
      <c r="BB30" s="3">
        <v>1621</v>
      </c>
      <c r="BC30" s="20">
        <f>Tabelle3[[#This Row],[KA (€)]]/Tabelle3[[#This Row],[KA (Backer)]]</f>
        <v>220.29286859962986</v>
      </c>
      <c r="BD30" s="3">
        <f>'Übersicht &amp; Anleitung'!AR77</f>
        <v>331726.15999999997</v>
      </c>
      <c r="BE30" s="3">
        <f>'Übersicht &amp; Anleitung'!AS77</f>
        <v>1770</v>
      </c>
      <c r="BF30" s="20">
        <f>Tabelle3[[#This Row],[MAR (€)]]/Tabelle3[[#This Row],[MAR (Backer)]]</f>
        <v>187.41590960451975</v>
      </c>
      <c r="BQ30" s="167" t="s">
        <v>160</v>
      </c>
      <c r="BR30" s="6">
        <f t="shared" si="62"/>
        <v>331726.15999999997</v>
      </c>
      <c r="BS30" s="6">
        <f t="shared" si="63"/>
        <v>1770</v>
      </c>
      <c r="BT30" s="21">
        <f t="shared" ref="BT30" si="159">BR30/BS30</f>
        <v>187.41590960451975</v>
      </c>
      <c r="BU30" s="6">
        <f t="shared" si="65"/>
        <v>331726.15999999997</v>
      </c>
      <c r="BV30" s="6">
        <f t="shared" si="66"/>
        <v>1770</v>
      </c>
      <c r="BW30" s="21">
        <f t="shared" ref="BW30" si="160">BU30/BV30</f>
        <v>187.41590960451975</v>
      </c>
      <c r="BX30" s="3">
        <f t="shared" ref="BX30" si="161">AVERAGE(BR30,BU30)</f>
        <v>331726.15999999997</v>
      </c>
      <c r="BY30" s="3">
        <f t="shared" ref="BY30" si="162">AVERAGE(BS30,BV30)</f>
        <v>1770</v>
      </c>
      <c r="BZ30" s="21">
        <f t="shared" ref="BZ30" si="163">BX30/BY30</f>
        <v>187.41590960451975</v>
      </c>
      <c r="CA30" s="3">
        <f t="shared" si="71"/>
        <v>331726.15999999997</v>
      </c>
      <c r="CB30" s="3">
        <f t="shared" si="72"/>
        <v>1770</v>
      </c>
      <c r="CC30" s="21">
        <f t="shared" ref="CC30" si="164">CA30/CB30</f>
        <v>187.41590960451975</v>
      </c>
      <c r="CE30" s="167" t="s">
        <v>160</v>
      </c>
      <c r="CF30" s="14">
        <f t="shared" si="74"/>
        <v>1</v>
      </c>
      <c r="CG30" s="14">
        <f t="shared" si="53"/>
        <v>1</v>
      </c>
      <c r="CH30" s="253">
        <f t="shared" si="75"/>
        <v>1</v>
      </c>
      <c r="CI30" s="253">
        <f t="shared" si="54"/>
        <v>1</v>
      </c>
      <c r="CJ30" s="253">
        <f t="shared" si="76"/>
        <v>1</v>
      </c>
      <c r="CK30" s="253">
        <f t="shared" si="55"/>
        <v>1</v>
      </c>
      <c r="CL30" s="253">
        <f t="shared" si="56"/>
        <v>0</v>
      </c>
      <c r="CM30" s="253">
        <f t="shared" si="3"/>
        <v>0</v>
      </c>
      <c r="CN30" s="15">
        <f t="shared" si="4"/>
        <v>1</v>
      </c>
      <c r="CO30" s="7">
        <f t="shared" si="5"/>
        <v>1</v>
      </c>
      <c r="CP30" s="10">
        <f t="shared" si="6"/>
        <v>1</v>
      </c>
      <c r="CQ30" s="11">
        <f t="shared" si="7"/>
        <v>1</v>
      </c>
      <c r="CR30" s="10">
        <f t="shared" si="8"/>
        <v>1</v>
      </c>
      <c r="CS30" s="25">
        <f t="shared" si="9"/>
        <v>1</v>
      </c>
      <c r="CT30" s="10">
        <f t="shared" si="10"/>
        <v>1</v>
      </c>
      <c r="CU30" s="25">
        <f t="shared" si="11"/>
        <v>1</v>
      </c>
      <c r="CV30" s="10">
        <f t="shared" si="12"/>
        <v>1</v>
      </c>
      <c r="CW30" s="25">
        <f t="shared" si="13"/>
        <v>1</v>
      </c>
      <c r="CX30" s="10">
        <f t="shared" si="14"/>
        <v>1</v>
      </c>
      <c r="CY30" s="25">
        <f t="shared" si="15"/>
        <v>1</v>
      </c>
      <c r="CZ30" s="10">
        <f t="shared" si="16"/>
        <v>1</v>
      </c>
      <c r="DA30" s="25">
        <f t="shared" si="17"/>
        <v>1</v>
      </c>
      <c r="DB30" s="10">
        <f t="shared" si="18"/>
        <v>1</v>
      </c>
      <c r="DC30" s="25">
        <f t="shared" si="19"/>
        <v>1</v>
      </c>
      <c r="DD30" s="10">
        <f t="shared" si="20"/>
        <v>1</v>
      </c>
      <c r="DE30" s="25">
        <f t="shared" si="21"/>
        <v>1</v>
      </c>
      <c r="DF30" s="10">
        <f t="shared" si="22"/>
        <v>1</v>
      </c>
      <c r="DG30" s="25">
        <f t="shared" si="23"/>
        <v>1</v>
      </c>
      <c r="DH30" s="10">
        <f t="shared" si="24"/>
        <v>1</v>
      </c>
      <c r="DI30" s="25">
        <f t="shared" si="25"/>
        <v>1</v>
      </c>
      <c r="DJ30" s="10">
        <f t="shared" si="26"/>
        <v>1</v>
      </c>
      <c r="DK30" s="25">
        <f t="shared" si="27"/>
        <v>1</v>
      </c>
      <c r="DL30" s="10">
        <f t="shared" si="97"/>
        <v>1</v>
      </c>
      <c r="DM30" s="25">
        <f t="shared" si="98"/>
        <v>1</v>
      </c>
      <c r="DN30" s="10">
        <f t="shared" si="28"/>
        <v>1</v>
      </c>
      <c r="DO30" s="25">
        <f t="shared" si="29"/>
        <v>1</v>
      </c>
      <c r="DP30" s="10">
        <f t="shared" si="30"/>
        <v>1</v>
      </c>
      <c r="DQ30" s="25">
        <f t="shared" si="31"/>
        <v>1</v>
      </c>
      <c r="DR30" s="10">
        <f t="shared" si="57"/>
        <v>1</v>
      </c>
      <c r="DS30" s="25">
        <f t="shared" si="32"/>
        <v>1</v>
      </c>
      <c r="DT30" s="10">
        <f t="shared" si="58"/>
        <v>1</v>
      </c>
      <c r="DU30" s="25">
        <f t="shared" si="59"/>
        <v>1</v>
      </c>
      <c r="DV30" s="10">
        <f t="shared" si="33"/>
        <v>1</v>
      </c>
      <c r="DW30" s="25">
        <f t="shared" si="34"/>
        <v>1</v>
      </c>
      <c r="DX30" s="16"/>
      <c r="DY30" s="18">
        <f t="shared" si="35"/>
        <v>0</v>
      </c>
      <c r="DZ30" s="26"/>
      <c r="EA30" s="27">
        <f t="shared" si="36"/>
        <v>0</v>
      </c>
      <c r="EB30" s="19"/>
      <c r="EC30" s="17">
        <f t="shared" si="37"/>
        <v>0</v>
      </c>
      <c r="ED30" s="19"/>
      <c r="EE30" s="17">
        <f t="shared" si="38"/>
        <v>0</v>
      </c>
      <c r="EF30" s="19"/>
      <c r="EG30" s="17">
        <f t="shared" si="39"/>
        <v>0</v>
      </c>
      <c r="EH30" s="19"/>
      <c r="EI30" s="17">
        <f t="shared" si="40"/>
        <v>0</v>
      </c>
      <c r="EJ30" s="19"/>
      <c r="EK30" s="17">
        <f t="shared" si="41"/>
        <v>0</v>
      </c>
      <c r="EL30" s="19"/>
      <c r="EM30" s="17">
        <f t="shared" si="42"/>
        <v>0</v>
      </c>
      <c r="EN30" s="19"/>
      <c r="EO30" s="17">
        <f t="shared" si="43"/>
        <v>0</v>
      </c>
      <c r="EP30" s="19"/>
      <c r="EQ30" s="17">
        <f t="shared" si="44"/>
        <v>0</v>
      </c>
      <c r="ER30" s="19"/>
      <c r="ES30" s="17">
        <f t="shared" si="45"/>
        <v>0</v>
      </c>
      <c r="ET30" s="19"/>
      <c r="EU30" s="17">
        <f t="shared" si="46"/>
        <v>0</v>
      </c>
      <c r="EV30" s="19"/>
      <c r="EW30" s="17">
        <f t="shared" si="47"/>
        <v>0</v>
      </c>
      <c r="EX30" s="19"/>
      <c r="EY30" s="17">
        <f t="shared" si="48"/>
        <v>0</v>
      </c>
      <c r="EZ30" s="19"/>
      <c r="FA30" s="17">
        <f t="shared" si="49"/>
        <v>0</v>
      </c>
      <c r="FB30" s="19"/>
      <c r="FC30" s="18">
        <f t="shared" si="50"/>
        <v>0</v>
      </c>
      <c r="FD30" s="19"/>
      <c r="FE30" s="18">
        <f t="shared" si="60"/>
        <v>0</v>
      </c>
      <c r="FF30" s="19"/>
      <c r="FG30" s="18">
        <f t="shared" si="61"/>
        <v>0</v>
      </c>
    </row>
    <row r="31" spans="1:163" hidden="1" outlineLevel="1" x14ac:dyDescent="0.25">
      <c r="BQ31" s="167"/>
      <c r="BR31" s="167"/>
      <c r="BS31" s="167"/>
      <c r="BT31" s="167"/>
      <c r="BU31" s="167"/>
      <c r="BV31" s="167"/>
      <c r="BW31" s="167"/>
      <c r="BX31" s="167"/>
      <c r="BY31" s="167"/>
      <c r="BZ31" s="167"/>
      <c r="CA31" s="167"/>
      <c r="CB31" s="167"/>
      <c r="CC31" s="167"/>
      <c r="CE31" s="167" t="s">
        <v>45</v>
      </c>
      <c r="CF31" s="385">
        <f>SUM(CF10:CF30)</f>
        <v>31.920425869680201</v>
      </c>
      <c r="CG31" s="385">
        <f t="shared" ref="CG31:DK31" si="165">SUM(CG10:CG30)</f>
        <v>31.76226145992554</v>
      </c>
      <c r="CH31" s="385">
        <f t="shared" si="165"/>
        <v>48.487217948241302</v>
      </c>
      <c r="CI31" s="385">
        <f t="shared" si="165"/>
        <v>51.019657130618256</v>
      </c>
      <c r="CJ31" s="385">
        <f t="shared" si="165"/>
        <v>38.706296051836617</v>
      </c>
      <c r="CK31" s="385">
        <f t="shared" si="165"/>
        <v>39.095655175361543</v>
      </c>
      <c r="CL31" s="385"/>
      <c r="CM31" s="385"/>
      <c r="CN31" s="385">
        <f t="shared" si="165"/>
        <v>45.428314528030107</v>
      </c>
      <c r="CO31" s="385">
        <f t="shared" si="165"/>
        <v>49.291270600601173</v>
      </c>
      <c r="CP31" s="385">
        <f t="shared" si="165"/>
        <v>45.756612165832692</v>
      </c>
      <c r="CQ31" s="385">
        <f t="shared" si="165"/>
        <v>47.747540959068033</v>
      </c>
      <c r="CR31" s="385">
        <f t="shared" si="165"/>
        <v>40.567262002351569</v>
      </c>
      <c r="CS31" s="385">
        <f t="shared" si="165"/>
        <v>39.289122872836998</v>
      </c>
      <c r="CT31" s="385">
        <f t="shared" si="165"/>
        <v>43.482859715954028</v>
      </c>
      <c r="CU31" s="385">
        <f t="shared" si="165"/>
        <v>41.4900106182888</v>
      </c>
      <c r="CV31" s="385">
        <f t="shared" si="165"/>
        <v>32.000423580252416</v>
      </c>
      <c r="CW31" s="385">
        <f t="shared" si="165"/>
        <v>31.871494080420181</v>
      </c>
      <c r="CX31" s="385">
        <f t="shared" si="165"/>
        <v>45.60581259072756</v>
      </c>
      <c r="CY31" s="385">
        <f t="shared" si="165"/>
        <v>45.23093042795746</v>
      </c>
      <c r="CZ31" s="385">
        <f t="shared" si="165"/>
        <v>35.082008173229767</v>
      </c>
      <c r="DA31" s="385">
        <f t="shared" si="165"/>
        <v>35.562021697767982</v>
      </c>
      <c r="DB31" s="385">
        <f t="shared" si="165"/>
        <v>42.857991054698523</v>
      </c>
      <c r="DC31" s="385">
        <f t="shared" si="165"/>
        <v>44.850961238462958</v>
      </c>
      <c r="DD31" s="385">
        <f t="shared" si="165"/>
        <v>34.886342577292439</v>
      </c>
      <c r="DE31" s="385">
        <f t="shared" si="165"/>
        <v>35.227093946084047</v>
      </c>
      <c r="DF31" s="385">
        <f t="shared" si="165"/>
        <v>42.354775272021556</v>
      </c>
      <c r="DG31" s="385">
        <f t="shared" si="165"/>
        <v>41.306721761257059</v>
      </c>
      <c r="DH31" s="385">
        <f t="shared" si="165"/>
        <v>50.249668094388298</v>
      </c>
      <c r="DI31" s="385">
        <f t="shared" si="165"/>
        <v>49.721200022055989</v>
      </c>
      <c r="DJ31" s="385">
        <f t="shared" si="165"/>
        <v>34.41984221297497</v>
      </c>
      <c r="DK31" s="385">
        <f t="shared" si="165"/>
        <v>34.894883905867943</v>
      </c>
      <c r="DL31" s="385"/>
      <c r="DM31" s="385"/>
      <c r="DN31" s="385">
        <f t="shared" ref="DN31:DO31" si="166">SUM(DN10:DN30)</f>
        <v>37.59540729516587</v>
      </c>
      <c r="DO31" s="385">
        <f t="shared" si="166"/>
        <v>38.385967621218242</v>
      </c>
      <c r="DP31" s="385">
        <f t="shared" ref="DP31:DS31" si="167">SUM(DP10:DP30)</f>
        <v>33.835060747937611</v>
      </c>
      <c r="DQ31" s="385">
        <f t="shared" si="167"/>
        <v>34.732421514818348</v>
      </c>
      <c r="DR31" s="385">
        <f t="shared" si="167"/>
        <v>34.624404610415255</v>
      </c>
      <c r="DS31" s="385">
        <f t="shared" si="167"/>
        <v>33.556835519343316</v>
      </c>
      <c r="DT31" s="385">
        <f t="shared" ref="DT31:DU31" si="168">SUM(DT10:DT30)</f>
        <v>34.21258090512935</v>
      </c>
      <c r="DU31" s="385">
        <f t="shared" si="168"/>
        <v>34.643265835048311</v>
      </c>
      <c r="DV31" s="385">
        <f t="shared" ref="DV31:DW31" si="169">SUM(DV10:DV30)</f>
        <v>32.991206865658626</v>
      </c>
      <c r="DW31" s="385">
        <f t="shared" si="169"/>
        <v>33.756189191143264</v>
      </c>
      <c r="DX31" s="166"/>
      <c r="DY31" s="166"/>
      <c r="DZ31" s="166"/>
      <c r="EA31" s="166"/>
      <c r="EB31" s="166"/>
      <c r="EC31" s="166"/>
      <c r="ED31" s="166"/>
      <c r="EE31" s="166"/>
      <c r="EF31" s="166"/>
      <c r="EG31" s="166"/>
      <c r="EH31" s="166"/>
      <c r="EI31" s="166"/>
      <c r="EJ31" s="166"/>
      <c r="EK31" s="166"/>
      <c r="EL31" s="166"/>
      <c r="FB31" s="166"/>
      <c r="FC31" s="166"/>
      <c r="FD31" s="166"/>
      <c r="FE31" s="166"/>
      <c r="FF31" s="166"/>
      <c r="FG31" s="166"/>
    </row>
    <row r="32" spans="1:163" hidden="1" outlineLevel="1" x14ac:dyDescent="0.25">
      <c r="A32" s="325" t="s">
        <v>182</v>
      </c>
      <c r="H32"/>
      <c r="I32"/>
      <c r="J32"/>
      <c r="W32" s="22"/>
      <c r="AD32" s="22"/>
      <c r="AE32" s="22"/>
      <c r="AL32" s="1005" t="s">
        <v>315</v>
      </c>
      <c r="AM32" s="1005"/>
      <c r="AN32" s="1005"/>
      <c r="AO32" s="991"/>
      <c r="AP32" s="991"/>
      <c r="AQ32" s="353"/>
      <c r="AR32" s="991"/>
      <c r="AS32" s="991"/>
      <c r="AT32" s="353"/>
      <c r="AU32" s="991"/>
      <c r="AV32" s="991"/>
      <c r="AW32" s="353"/>
      <c r="AX32" s="991" t="s">
        <v>201</v>
      </c>
      <c r="AY32" s="991"/>
      <c r="AZ32" s="353"/>
      <c r="BA32" s="991" t="s">
        <v>201</v>
      </c>
      <c r="BB32" s="991"/>
      <c r="BC32" s="353"/>
      <c r="BD32" s="991" t="s">
        <v>201</v>
      </c>
      <c r="BE32" s="991"/>
      <c r="BF32" s="353"/>
      <c r="BQ32" s="167" t="s">
        <v>180</v>
      </c>
      <c r="BR32" s="6">
        <f>AVERAGE(BR10:BR30)</f>
        <v>330933.57638803963</v>
      </c>
      <c r="BS32" s="6">
        <f>AVERAGE(BS10:BS30)</f>
        <v>1736.1075707711</v>
      </c>
      <c r="BT32" s="21">
        <f>BR32/BS32</f>
        <v>190.61812871483187</v>
      </c>
      <c r="BU32" s="6">
        <f>AVERAGE(BU10:BU30)</f>
        <v>486478.83819296618</v>
      </c>
      <c r="BV32" s="6">
        <f>AVERAGE(BV10:BV30)</f>
        <v>2686.300613320408</v>
      </c>
      <c r="BW32" s="21">
        <f t="shared" ref="BW32:BW33" si="170">BU32/BV32</f>
        <v>181.09620188473727</v>
      </c>
      <c r="BX32" s="3">
        <f>AVERAGE(BR32,BU32)</f>
        <v>408706.20729050291</v>
      </c>
      <c r="BY32" s="3">
        <f>AVERAGE(BS32,BV32)</f>
        <v>2211.2040920457539</v>
      </c>
      <c r="BZ32" s="21">
        <f t="shared" ref="BZ32" si="171">BX32/BY32</f>
        <v>184.83423070747736</v>
      </c>
      <c r="CA32" s="3"/>
      <c r="CB32" s="3"/>
      <c r="CC32" s="21"/>
      <c r="CE32" s="167"/>
      <c r="DX32" s="386" t="s">
        <v>281</v>
      </c>
      <c r="DY32" s="385">
        <f>_xlfn.STDEV.P(DY10:DY30)</f>
        <v>0.14700691002927202</v>
      </c>
      <c r="DZ32" s="166"/>
      <c r="EA32" s="385">
        <f>_xlfn.STDEV.P(EA10:EA30)</f>
        <v>7.951862956394716E-2</v>
      </c>
      <c r="EB32" s="166"/>
      <c r="EC32" s="385">
        <f t="shared" ref="EC32" si="172">_xlfn.STDEV.P(EC10:EC30)</f>
        <v>2.4054835685507883E-2</v>
      </c>
      <c r="ED32" s="166"/>
      <c r="EE32" s="385">
        <f t="shared" ref="EE32" si="173">_xlfn.STDEV.P(EE10:EE30)</f>
        <v>7.3495531159005603E-2</v>
      </c>
      <c r="EF32" s="166"/>
      <c r="EG32" s="385">
        <f t="shared" ref="EG32" si="174">_xlfn.STDEV.P(EG10:EG30)</f>
        <v>7.7548465715394184E-3</v>
      </c>
      <c r="EH32" s="166"/>
      <c r="EI32" s="385">
        <f t="shared" ref="EI32" si="175">_xlfn.STDEV.P(EI10:EI30)</f>
        <v>5.2886299558510999E-2</v>
      </c>
      <c r="EJ32" s="166"/>
      <c r="EK32" s="385">
        <f t="shared" ref="EK32" si="176">_xlfn.STDEV.P(EK10:EK30)</f>
        <v>1.3466889894914531E-2</v>
      </c>
      <c r="EL32" s="166"/>
      <c r="EM32" s="385">
        <f t="shared" ref="EM32" si="177">_xlfn.STDEV.P(EM10:EM30)</f>
        <v>0.10680354545392662</v>
      </c>
      <c r="EN32" s="166"/>
      <c r="EO32" s="385">
        <f t="shared" ref="EO32" si="178">_xlfn.STDEV.P(EO10:EO30)</f>
        <v>2.4068328712478874E-2</v>
      </c>
      <c r="EP32" s="166"/>
      <c r="EQ32" s="385">
        <f t="shared" ref="EQ32" si="179">_xlfn.STDEV.P(EQ10:EQ30)</f>
        <v>7.6864697079064251E-2</v>
      </c>
      <c r="ER32" s="166"/>
      <c r="ES32" s="385">
        <f t="shared" ref="ES32" si="180">_xlfn.STDEV.P(ES10:ES30)</f>
        <v>2.4084568501650295E-2</v>
      </c>
      <c r="ET32" s="166"/>
      <c r="EU32" s="385">
        <f t="shared" ref="EU32" si="181">_xlfn.STDEV.P(EU10:EU30)</f>
        <v>1.9084563965244824E-2</v>
      </c>
      <c r="EV32" s="166"/>
      <c r="EW32" s="385">
        <f t="shared" ref="EW32" si="182">_xlfn.STDEV.P(EW10:EW30)</f>
        <v>3.6900217406065368E-2</v>
      </c>
      <c r="EX32" s="166"/>
      <c r="EY32" s="385">
        <f t="shared" ref="EY32:FA32" si="183">_xlfn.STDEV.P(EY10:EY30)</f>
        <v>5.2888654036997558E-2</v>
      </c>
      <c r="EZ32" s="166"/>
      <c r="FA32" s="385">
        <f t="shared" si="183"/>
        <v>3.3106850500357866E-2</v>
      </c>
      <c r="FB32" s="166"/>
      <c r="FC32" s="385">
        <f t="shared" ref="FC32:FE32" si="184">_xlfn.STDEV.P(FC10:FC30)</f>
        <v>5.3100342426143594E-2</v>
      </c>
      <c r="FD32" s="166"/>
      <c r="FE32" s="385">
        <f t="shared" si="184"/>
        <v>2.199403276740703E-2</v>
      </c>
      <c r="FF32" s="166"/>
      <c r="FG32" s="385">
        <f t="shared" ref="FG32" si="185">_xlfn.STDEV.P(FG10:FG30)</f>
        <v>1.8713252286322354E-2</v>
      </c>
    </row>
    <row r="33" spans="1:163" hidden="1" outlineLevel="1" x14ac:dyDescent="0.25">
      <c r="A33" s="234" t="s">
        <v>24</v>
      </c>
      <c r="B33" s="273" t="str">
        <f>Tabelle3[[#Headers],[Ned (€)]]</f>
        <v>Ned (€)</v>
      </c>
      <c r="C33" s="274" t="str">
        <f>C$8</f>
        <v>Ned (Backer)</v>
      </c>
      <c r="D33" s="337" t="str">
        <f t="shared" ref="D33:BF33" si="186">D$8</f>
        <v>Ned (€/B)</v>
      </c>
      <c r="E33" s="276" t="str">
        <f t="shared" si="186"/>
        <v>Werkzeuge (€)</v>
      </c>
      <c r="F33" s="277" t="str">
        <f t="shared" si="186"/>
        <v>Werkzeuge (Backer)</v>
      </c>
      <c r="G33" s="373" t="str">
        <f t="shared" si="186"/>
        <v>Werkz (€/B)</v>
      </c>
      <c r="H33" s="280" t="str">
        <f t="shared" si="186"/>
        <v>DSK Fasar (€)</v>
      </c>
      <c r="I33" s="281" t="str">
        <f t="shared" si="186"/>
        <v>DSK Fasar (Backer)</v>
      </c>
      <c r="J33" s="282" t="str">
        <f t="shared" si="186"/>
        <v>DSK Fasar (€/B)</v>
      </c>
      <c r="K33" s="273" t="str">
        <f t="shared" si="186"/>
        <v>Mythen (€)</v>
      </c>
      <c r="L33" s="274" t="str">
        <f t="shared" si="186"/>
        <v>Mythen (Backer)</v>
      </c>
      <c r="M33" s="274" t="str">
        <f t="shared" si="186"/>
        <v>Mythen (€/B)</v>
      </c>
      <c r="N33" s="278" t="str">
        <f t="shared" si="186"/>
        <v>SOK (€)</v>
      </c>
      <c r="O33" s="279" t="str">
        <f t="shared" si="186"/>
        <v>SOK (Backer)</v>
      </c>
      <c r="P33" s="279" t="str">
        <f t="shared" si="186"/>
        <v>SOK (€/B)</v>
      </c>
      <c r="Q33" s="275" t="str">
        <f t="shared" si="186"/>
        <v>RE (€)</v>
      </c>
      <c r="R33" s="275" t="str">
        <f t="shared" si="186"/>
        <v>RE (Backer)</v>
      </c>
      <c r="S33" s="275" t="str">
        <f t="shared" si="186"/>
        <v>RE (€/B)</v>
      </c>
      <c r="T33" s="275" t="str">
        <f t="shared" si="186"/>
        <v>DGG (€)</v>
      </c>
      <c r="U33" s="275" t="str">
        <f t="shared" si="186"/>
        <v>DGG (Backer)</v>
      </c>
      <c r="V33" s="275" t="str">
        <f t="shared" si="186"/>
        <v>DGG (€/B)</v>
      </c>
      <c r="W33" s="280" t="str">
        <f t="shared" si="186"/>
        <v>DSK SV (€)</v>
      </c>
      <c r="X33" s="281" t="str">
        <f t="shared" si="186"/>
        <v>DSK SV (Backer)</v>
      </c>
      <c r="Y33" s="282" t="str">
        <f t="shared" si="186"/>
        <v>DSK SV (€/B)</v>
      </c>
      <c r="Z33" s="278" t="str">
        <f t="shared" si="186"/>
        <v>WW (€)</v>
      </c>
      <c r="AA33" s="279" t="str">
        <f t="shared" si="186"/>
        <v>WW (Backer)</v>
      </c>
      <c r="AB33" s="279" t="str">
        <f t="shared" si="186"/>
        <v>WW (€/B)</v>
      </c>
      <c r="AC33" s="280" t="str">
        <f t="shared" si="186"/>
        <v>DSK R (€)</v>
      </c>
      <c r="AD33" s="281" t="str">
        <f t="shared" si="186"/>
        <v>DSK R (Backer)</v>
      </c>
      <c r="AE33" s="282" t="str">
        <f t="shared" si="186"/>
        <v>DSK R (€/B)</v>
      </c>
      <c r="AF33" s="275" t="str">
        <f t="shared" si="186"/>
        <v>Ära (€)</v>
      </c>
      <c r="AG33" s="275" t="str">
        <f t="shared" si="186"/>
        <v>Ära (Backer)</v>
      </c>
      <c r="AH33" s="275" t="str">
        <f t="shared" si="186"/>
        <v>Ära (€/B)</v>
      </c>
      <c r="AI33" s="275" t="str">
        <f t="shared" si="186"/>
        <v>Mosaik (€)</v>
      </c>
      <c r="AJ33" s="275" t="str">
        <f t="shared" si="186"/>
        <v>Mosaik (Backer)</v>
      </c>
      <c r="AK33" s="275" t="str">
        <f t="shared" si="186"/>
        <v>Mosaik (€/B)</v>
      </c>
      <c r="AL33" s="280" t="str">
        <f t="shared" si="186"/>
        <v>DSK ES (€)</v>
      </c>
      <c r="AM33" s="281" t="str">
        <f t="shared" si="186"/>
        <v>DSK ES (Backer)</v>
      </c>
      <c r="AN33" s="282" t="str">
        <f t="shared" si="186"/>
        <v>DSK ES (€/B)</v>
      </c>
      <c r="AO33" s="278" t="str">
        <f t="shared" si="186"/>
        <v>ES (€)</v>
      </c>
      <c r="AP33" s="279" t="str">
        <f t="shared" si="186"/>
        <v>ES (Backer)</v>
      </c>
      <c r="AQ33" s="389" t="str">
        <f t="shared" si="186"/>
        <v>ES (€/B)</v>
      </c>
      <c r="AR33" s="278" t="str">
        <f t="shared" si="186"/>
        <v>WF (€)</v>
      </c>
      <c r="AS33" s="279" t="str">
        <f t="shared" si="186"/>
        <v>WF(Backer)</v>
      </c>
      <c r="AT33" s="389" t="str">
        <f t="shared" si="186"/>
        <v>WF (€/B)</v>
      </c>
      <c r="AU33" s="653" t="str">
        <f t="shared" si="186"/>
        <v>AKM (€)</v>
      </c>
      <c r="AV33" s="274" t="str">
        <f t="shared" si="186"/>
        <v>AKM(Backer)</v>
      </c>
      <c r="AW33" s="274" t="str">
        <f t="shared" si="186"/>
        <v>AKM (€/B)</v>
      </c>
      <c r="AX33" s="275" t="str">
        <f t="shared" si="186"/>
        <v>Lex (€)</v>
      </c>
      <c r="AY33" s="275" t="str">
        <f t="shared" si="186"/>
        <v>Lex(Backer)</v>
      </c>
      <c r="AZ33" s="654" t="str">
        <f t="shared" si="186"/>
        <v>Lex(€/B)</v>
      </c>
      <c r="BA33" s="275" t="str">
        <f t="shared" si="186"/>
        <v>KA (€)</v>
      </c>
      <c r="BB33" s="275" t="str">
        <f t="shared" si="186"/>
        <v>KA (Backer)</v>
      </c>
      <c r="BC33" s="654" t="str">
        <f t="shared" si="186"/>
        <v>KA (€/B)</v>
      </c>
      <c r="BD33" s="805" t="str">
        <f t="shared" si="186"/>
        <v>MAR (€)</v>
      </c>
      <c r="BE33" s="805" t="str">
        <f t="shared" si="186"/>
        <v>MAR (Backer)</v>
      </c>
      <c r="BF33" s="806" t="str">
        <f t="shared" si="186"/>
        <v>MAR (€/B)</v>
      </c>
      <c r="BG33" s="1006" t="s">
        <v>202</v>
      </c>
      <c r="BH33" s="1006"/>
      <c r="BI33" s="1006"/>
      <c r="BJ33" s="1006"/>
      <c r="BQ33" s="167" t="s">
        <v>179</v>
      </c>
      <c r="BR33" s="6">
        <f>MIN(BR10:BR30)</f>
        <v>318669.04198399</v>
      </c>
      <c r="BS33" s="6">
        <f>MIN(BS10:BS30)</f>
        <v>1647.1143911439115</v>
      </c>
      <c r="BT33" s="21">
        <f>BR33/BS33</f>
        <v>193.47110540554272</v>
      </c>
      <c r="BU33" s="6">
        <f>MAX(BU10:BU30)</f>
        <v>642802.59354434349</v>
      </c>
      <c r="BV33" s="6">
        <f>MAX(BV10:BV30)</f>
        <v>3515.3489736070383</v>
      </c>
      <c r="BW33" s="21">
        <f t="shared" si="170"/>
        <v>182.85598339466563</v>
      </c>
      <c r="BX33" s="3">
        <f>AVERAGE(BR33,BU33)</f>
        <v>480735.81776416674</v>
      </c>
      <c r="BY33" s="3">
        <f>AVERAGE(BS33,BV33)</f>
        <v>2581.231682375475</v>
      </c>
      <c r="BZ33" s="21">
        <f t="shared" ref="BZ33" si="187">BX33/BY33</f>
        <v>186.24280069340836</v>
      </c>
      <c r="CA33" s="3"/>
      <c r="CB33" s="3"/>
      <c r="CC33" s="21"/>
      <c r="CD33" s="167"/>
      <c r="CE33" s="167"/>
      <c r="CF33" s="166"/>
      <c r="CG33" s="166"/>
      <c r="CH33" s="166"/>
      <c r="CI33" s="166"/>
      <c r="CJ33" s="166"/>
      <c r="CK33" s="166"/>
      <c r="CL33" s="166"/>
      <c r="CM33" s="166"/>
      <c r="CN33" s="166"/>
      <c r="CO33" s="166"/>
      <c r="CP33" s="166"/>
      <c r="CQ33" s="166"/>
      <c r="CR33" s="166"/>
      <c r="CS33" s="166"/>
      <c r="CT33" s="166"/>
      <c r="CU33" s="166"/>
      <c r="CV33" s="166"/>
      <c r="CW33" s="166"/>
      <c r="CX33" s="166"/>
      <c r="CY33" s="166"/>
      <c r="CZ33" s="166"/>
      <c r="DA33" s="166"/>
      <c r="DB33" s="166"/>
      <c r="DC33" s="166"/>
      <c r="DD33" s="166"/>
      <c r="DE33" s="166"/>
      <c r="DF33" s="166"/>
      <c r="DG33" s="166"/>
      <c r="DH33" s="166"/>
      <c r="DI33" s="166"/>
      <c r="DJ33" s="166"/>
      <c r="DK33" s="166"/>
      <c r="DL33" s="166"/>
      <c r="DM33" s="166"/>
      <c r="DN33" s="166"/>
      <c r="DO33" s="166"/>
      <c r="DP33" s="166"/>
      <c r="DQ33" s="166"/>
      <c r="DR33" s="166"/>
      <c r="DS33" s="166"/>
      <c r="DT33" s="166"/>
      <c r="DU33" s="166"/>
      <c r="DV33" s="166"/>
      <c r="DW33" s="166"/>
      <c r="DX33" s="166"/>
      <c r="DY33" s="166"/>
      <c r="DZ33" s="166"/>
      <c r="EA33" s="166"/>
      <c r="EB33" s="166"/>
      <c r="EC33" s="166"/>
      <c r="ED33" s="166"/>
      <c r="EE33" s="166"/>
      <c r="EF33" s="166"/>
      <c r="EG33" s="166"/>
      <c r="EH33" s="166"/>
      <c r="EI33" s="166"/>
      <c r="EJ33" s="166"/>
      <c r="EK33" s="166"/>
      <c r="EL33" s="166"/>
      <c r="FB33" s="166"/>
      <c r="FC33" s="166"/>
      <c r="FD33" s="166"/>
      <c r="FE33" s="166"/>
      <c r="FF33" s="166"/>
      <c r="FG33" s="166"/>
    </row>
    <row r="34" spans="1:163" ht="15.75" hidden="1" outlineLevel="1" thickBot="1" x14ac:dyDescent="0.3">
      <c r="A34" s="333">
        <v>0</v>
      </c>
      <c r="B34" s="270">
        <v>0</v>
      </c>
      <c r="C34" s="270">
        <v>0</v>
      </c>
      <c r="D34" s="338"/>
      <c r="E34" s="270">
        <v>0</v>
      </c>
      <c r="F34" s="270">
        <v>0</v>
      </c>
      <c r="G34" s="338"/>
      <c r="H34" s="270">
        <v>0</v>
      </c>
      <c r="I34" s="270">
        <v>0</v>
      </c>
      <c r="J34" s="270"/>
      <c r="K34" s="270">
        <v>0</v>
      </c>
      <c r="L34" s="270">
        <v>0</v>
      </c>
      <c r="M34" s="304"/>
      <c r="N34" s="304">
        <v>0</v>
      </c>
      <c r="O34" s="304">
        <v>0</v>
      </c>
      <c r="P34" s="304"/>
      <c r="Q34" s="270">
        <v>0</v>
      </c>
      <c r="R34" s="270">
        <v>0</v>
      </c>
      <c r="S34" s="270"/>
      <c r="T34" s="270">
        <v>0</v>
      </c>
      <c r="U34" s="270">
        <v>0</v>
      </c>
      <c r="V34" s="270"/>
      <c r="W34" s="270">
        <v>0</v>
      </c>
      <c r="X34" s="270">
        <v>0</v>
      </c>
      <c r="Y34" s="270"/>
      <c r="Z34" s="270">
        <v>0</v>
      </c>
      <c r="AA34" s="270">
        <v>0</v>
      </c>
      <c r="AB34" s="270"/>
      <c r="AC34" s="270">
        <v>0</v>
      </c>
      <c r="AD34" s="270">
        <v>0</v>
      </c>
      <c r="AE34" s="270"/>
      <c r="AF34" s="270">
        <v>0</v>
      </c>
      <c r="AG34" s="270">
        <v>0</v>
      </c>
      <c r="AH34" s="270"/>
      <c r="AI34" s="270">
        <v>0</v>
      </c>
      <c r="AJ34" s="270">
        <v>0</v>
      </c>
      <c r="AK34" s="270"/>
      <c r="AL34" s="270">
        <v>0</v>
      </c>
      <c r="AM34" s="270">
        <v>0</v>
      </c>
      <c r="AN34" s="270"/>
      <c r="AO34" s="315">
        <v>0</v>
      </c>
      <c r="AP34" s="315">
        <v>0</v>
      </c>
      <c r="AQ34" s="313"/>
      <c r="AR34" s="315">
        <v>0</v>
      </c>
      <c r="AS34" s="315">
        <v>0</v>
      </c>
      <c r="AT34" s="313"/>
      <c r="AU34" s="315">
        <v>0</v>
      </c>
      <c r="AV34" s="315">
        <v>0</v>
      </c>
      <c r="AW34" s="313"/>
      <c r="AX34" s="315">
        <v>0</v>
      </c>
      <c r="AY34" s="315">
        <v>0</v>
      </c>
      <c r="AZ34" s="313"/>
      <c r="BA34" s="315">
        <v>0</v>
      </c>
      <c r="BB34" s="315">
        <v>0</v>
      </c>
      <c r="BC34" s="313"/>
      <c r="BD34" s="315">
        <v>0</v>
      </c>
      <c r="BE34" s="315">
        <v>0</v>
      </c>
      <c r="BF34" s="313"/>
      <c r="BG34" s="313">
        <f>AVERAGE(B34,E34,H34,K34,N34,Q34,T34,W34,Z34,AC34,AI34,AO34,AR34,AU34,AX34,BA34)</f>
        <v>0</v>
      </c>
      <c r="BH34" s="313">
        <f t="shared" ref="BH34:BH55" si="188">AVERAGE(C34,F34,I34,L34,O34,R34,U34,X34,AA34,AD34,AJ34,AP34,AS34,AV34,AY34,BB34)</f>
        <v>0</v>
      </c>
      <c r="BI34" s="313"/>
      <c r="BP34" s="167"/>
      <c r="CD34" s="167"/>
      <c r="CE34" s="167"/>
      <c r="CF34" s="167"/>
      <c r="CG34" s="167"/>
      <c r="CH34" s="167"/>
      <c r="CI34" s="167"/>
      <c r="CJ34" s="167"/>
      <c r="CK34" s="167"/>
      <c r="CL34" s="167"/>
      <c r="CM34" s="167"/>
      <c r="CN34" s="167"/>
      <c r="CO34" s="167"/>
      <c r="CP34" s="167"/>
      <c r="CQ34" s="167"/>
      <c r="CR34" s="167"/>
      <c r="CS34" s="167"/>
      <c r="CT34" s="167"/>
      <c r="CU34" s="167"/>
      <c r="CV34" s="167"/>
      <c r="CW34" s="167"/>
      <c r="CX34" s="167"/>
      <c r="CY34" s="167"/>
      <c r="CZ34" s="167"/>
      <c r="DA34" s="167"/>
      <c r="DB34" s="167"/>
      <c r="DC34" s="167"/>
      <c r="DD34" s="167"/>
      <c r="DE34" s="167"/>
      <c r="DF34" s="167"/>
      <c r="DG34" s="167"/>
      <c r="DH34" s="167"/>
      <c r="DI34" s="167"/>
      <c r="DJ34" s="167"/>
      <c r="DK34" s="167"/>
      <c r="DL34" s="167"/>
      <c r="DM34" s="167"/>
      <c r="DN34" s="167"/>
      <c r="DO34" s="167"/>
      <c r="DP34" s="167"/>
      <c r="DQ34" s="167"/>
      <c r="DR34" s="167"/>
      <c r="DS34" s="167"/>
      <c r="DT34" s="167"/>
      <c r="DU34" s="167"/>
      <c r="DV34" s="167"/>
      <c r="DW34" s="167"/>
      <c r="DX34" s="167"/>
      <c r="DY34" s="167"/>
      <c r="DZ34" s="167"/>
      <c r="EA34" s="167"/>
      <c r="EB34" s="167"/>
      <c r="EC34" s="167"/>
      <c r="ED34" s="167"/>
      <c r="EE34" s="167"/>
      <c r="EF34" s="167"/>
      <c r="EG34" s="167"/>
      <c r="EH34" s="167"/>
      <c r="EI34" s="167"/>
      <c r="EJ34" s="167"/>
      <c r="EK34" s="167"/>
      <c r="EL34" s="167"/>
      <c r="FB34" s="167"/>
      <c r="FC34" s="167"/>
      <c r="FD34" s="167"/>
      <c r="FE34" s="167"/>
      <c r="FF34" s="167"/>
      <c r="FG34" s="167"/>
    </row>
    <row r="35" spans="1:163" ht="15.75" hidden="1" outlineLevel="1" thickBot="1" x14ac:dyDescent="0.3">
      <c r="A35" s="333">
        <v>1</v>
      </c>
      <c r="B35" s="270">
        <f t="shared" ref="B35:C55" si="189">B10/B$30</f>
        <v>0.23692357045472773</v>
      </c>
      <c r="C35" s="270">
        <f t="shared" si="189"/>
        <v>0.21037463976945245</v>
      </c>
      <c r="D35" s="338"/>
      <c r="E35" s="270">
        <f t="shared" ref="E35:AG35" si="190">E10/E$30</f>
        <v>0.25446248118054376</v>
      </c>
      <c r="F35" s="270">
        <f t="shared" si="190"/>
        <v>0.23677248677248677</v>
      </c>
      <c r="G35" s="338"/>
      <c r="H35" s="304">
        <f t="shared" si="190"/>
        <v>0.29429074975342379</v>
      </c>
      <c r="I35" s="304">
        <f t="shared" si="190"/>
        <v>0.29635258358662614</v>
      </c>
      <c r="J35" s="304"/>
      <c r="K35" s="270">
        <f t="shared" si="190"/>
        <v>0.21793290440155128</v>
      </c>
      <c r="L35" s="270">
        <f t="shared" si="190"/>
        <v>0.23138832997987926</v>
      </c>
      <c r="M35" s="335"/>
      <c r="N35" s="303">
        <f t="shared" si="190"/>
        <v>0.37533932582389773</v>
      </c>
      <c r="O35" s="303">
        <f t="shared" si="190"/>
        <v>0.37560096153846156</v>
      </c>
      <c r="P35" s="335"/>
      <c r="Q35" s="270">
        <f t="shared" si="190"/>
        <v>0.212457139052565</v>
      </c>
      <c r="R35" s="270">
        <f t="shared" si="190"/>
        <v>0.20566948130277443</v>
      </c>
      <c r="S35" s="304"/>
      <c r="T35" s="304">
        <f t="shared" si="190"/>
        <v>0.33040660242838005</v>
      </c>
      <c r="U35" s="304">
        <f t="shared" si="190"/>
        <v>0.32512820512820512</v>
      </c>
      <c r="V35" s="304"/>
      <c r="W35" s="270">
        <f t="shared" si="190"/>
        <v>0.23216317878953724</v>
      </c>
      <c r="X35" s="270">
        <f t="shared" si="190"/>
        <v>0.21085271317829457</v>
      </c>
      <c r="Y35" s="304"/>
      <c r="Z35" s="304">
        <f t="shared" si="190"/>
        <v>0.29954536347804644</v>
      </c>
      <c r="AA35" s="304">
        <f t="shared" si="190"/>
        <v>0.29107142857142859</v>
      </c>
      <c r="AB35" s="304"/>
      <c r="AC35" s="270">
        <f t="shared" si="190"/>
        <v>0.23055065107040387</v>
      </c>
      <c r="AD35" s="270">
        <f t="shared" si="190"/>
        <v>0.24907063197026022</v>
      </c>
      <c r="AE35" s="270"/>
      <c r="AF35" s="270">
        <f t="shared" si="190"/>
        <v>0.15888034218899844</v>
      </c>
      <c r="AG35" s="270">
        <f t="shared" si="190"/>
        <v>0.15845070422535212</v>
      </c>
      <c r="AH35" s="304"/>
      <c r="AI35" s="270">
        <f t="shared" ref="AI35:AJ35" si="191">AI10/AI$30</f>
        <v>0.30887479624495817</v>
      </c>
      <c r="AJ35" s="270">
        <f t="shared" si="191"/>
        <v>0.2999135695764909</v>
      </c>
      <c r="AK35" s="304"/>
      <c r="AL35" s="270">
        <f t="shared" ref="AL35:AM35" si="192">AL10/AL$30</f>
        <v>0.27545627285356156</v>
      </c>
      <c r="AM35" s="270">
        <f t="shared" si="192"/>
        <v>0.2847058823529412</v>
      </c>
      <c r="AN35" s="304"/>
      <c r="AO35" s="316">
        <f>AO10/AO$30</f>
        <v>0.28716166800477166</v>
      </c>
      <c r="AP35" s="316">
        <f>AP10/AP$30</f>
        <v>0.26975476839237056</v>
      </c>
      <c r="AQ35" s="313"/>
      <c r="AR35" s="316">
        <f>AR10/AR$30</f>
        <v>0.34307235591359936</v>
      </c>
      <c r="AS35" s="316">
        <f>AS10/AS$30</f>
        <v>0.32600258732212162</v>
      </c>
      <c r="AT35" s="313"/>
      <c r="AU35" s="316">
        <f>AU10/AU$30</f>
        <v>0.32721378729366507</v>
      </c>
      <c r="AV35" s="316">
        <f>AV10/AV$30</f>
        <v>0.3467711832773423</v>
      </c>
      <c r="AW35" s="313"/>
      <c r="AX35" s="392"/>
      <c r="AY35" s="392"/>
      <c r="AZ35" s="313"/>
      <c r="BA35" s="316">
        <f t="shared" ref="BA35:BB35" si="193">BA10/BA$30</f>
        <v>0.35859951339524071</v>
      </c>
      <c r="BB35" s="316">
        <f t="shared" si="193"/>
        <v>0.33929673041332509</v>
      </c>
      <c r="BC35" s="313"/>
      <c r="BD35" s="316">
        <f t="shared" ref="BD35:BE36" si="194">BD10/BD$30</f>
        <v>0.4116889665861746</v>
      </c>
      <c r="BE35" s="316">
        <f t="shared" si="194"/>
        <v>0.40847457627118644</v>
      </c>
      <c r="BF35" s="313"/>
      <c r="BG35" s="382">
        <f t="shared" ref="BG35:BG55" si="195">AVERAGE(B35,E35,H35,K35,N35,Q35,T35,W35,Z35,AC35,AI35,AO35,AR35,AU35,AX35,BA35)</f>
        <v>0.28726627248568742</v>
      </c>
      <c r="BH35" s="382">
        <f t="shared" si="188"/>
        <v>0.28093468671863459</v>
      </c>
      <c r="BI35" s="383" t="s">
        <v>276</v>
      </c>
      <c r="BJ35" s="384" t="s">
        <v>59</v>
      </c>
      <c r="BP35" s="167"/>
      <c r="CD35" s="167"/>
      <c r="CE35" s="374" t="s">
        <v>60</v>
      </c>
      <c r="CF35" s="385">
        <f>CF10-CF11</f>
        <v>0.56714438496741826</v>
      </c>
      <c r="CG35" s="385">
        <f t="shared" ref="CG35:DK44" si="196">CG10-CG11</f>
        <v>0.5534012674271227</v>
      </c>
      <c r="CH35" s="385">
        <f t="shared" si="196"/>
        <v>0.65290139279430015</v>
      </c>
      <c r="CI35" s="385">
        <f t="shared" si="196"/>
        <v>0.63046277090336922</v>
      </c>
      <c r="CJ35" s="385">
        <f t="shared" si="196"/>
        <v>0.64111611176056149</v>
      </c>
      <c r="CK35" s="385">
        <f t="shared" si="196"/>
        <v>0.67708556879500525</v>
      </c>
      <c r="CL35" s="385">
        <f t="shared" ref="CL35:CM50" si="197">CL10-CL11</f>
        <v>8.5757007826881892E-2</v>
      </c>
      <c r="CM35" s="385">
        <f t="shared" si="197"/>
        <v>7.7061503476246518E-2</v>
      </c>
      <c r="CN35" s="385">
        <f t="shared" si="196"/>
        <v>0.50178927845890176</v>
      </c>
      <c r="CO35" s="385">
        <f t="shared" si="196"/>
        <v>0.52171734046107598</v>
      </c>
      <c r="CP35" s="385">
        <f t="shared" si="196"/>
        <v>0.48287936747874571</v>
      </c>
      <c r="CQ35" s="385">
        <f t="shared" si="196"/>
        <v>0.55356077452947883</v>
      </c>
      <c r="CR35" s="385">
        <f t="shared" si="196"/>
        <v>0.49840096316239579</v>
      </c>
      <c r="CS35" s="385">
        <f t="shared" si="196"/>
        <v>0.55032463959502564</v>
      </c>
      <c r="CT35" s="385">
        <f t="shared" si="196"/>
        <v>0.92025744577694946</v>
      </c>
      <c r="CU35" s="385">
        <f t="shared" si="196"/>
        <v>0.89415292353823128</v>
      </c>
      <c r="CV35" s="385">
        <f t="shared" si="196"/>
        <v>0.56714438496741826</v>
      </c>
      <c r="CW35" s="385">
        <f t="shared" si="196"/>
        <v>0.5534012674271227</v>
      </c>
      <c r="CX35" s="385">
        <f t="shared" si="196"/>
        <v>0.65290139279430015</v>
      </c>
      <c r="CY35" s="385">
        <f t="shared" si="196"/>
        <v>0.7582096919369361</v>
      </c>
      <c r="CZ35" s="385">
        <f t="shared" si="196"/>
        <v>0.71682410921846396</v>
      </c>
      <c r="DA35" s="385">
        <f t="shared" si="196"/>
        <v>0.73758028277693288</v>
      </c>
      <c r="DB35" s="385">
        <f t="shared" si="196"/>
        <v>0.75619851541744021</v>
      </c>
      <c r="DC35" s="385">
        <f t="shared" si="196"/>
        <v>0.99264705882352899</v>
      </c>
      <c r="DD35" s="385">
        <f t="shared" si="196"/>
        <v>0.66579195539816372</v>
      </c>
      <c r="DE35" s="385">
        <f t="shared" si="196"/>
        <v>0.71713622014414202</v>
      </c>
      <c r="DF35" s="385">
        <f t="shared" si="196"/>
        <v>1.1669702233533958</v>
      </c>
      <c r="DG35" s="385">
        <f t="shared" si="196"/>
        <v>0.99245346302196902</v>
      </c>
      <c r="DH35" s="385">
        <f t="shared" si="196"/>
        <v>1.8135421832565433</v>
      </c>
      <c r="DI35" s="385">
        <f t="shared" si="196"/>
        <v>1.8736111111111109</v>
      </c>
      <c r="DJ35" s="385">
        <f t="shared" si="196"/>
        <v>0.8840911593380496</v>
      </c>
      <c r="DK35" s="385">
        <f t="shared" si="196"/>
        <v>0.93884881355123184</v>
      </c>
      <c r="DL35" s="385"/>
      <c r="DM35" s="385"/>
      <c r="DN35" s="385">
        <f t="shared" ref="DL35:DO50" si="198">DN10-DN11</f>
        <v>0.7709828386840476</v>
      </c>
      <c r="DO35" s="385">
        <f t="shared" si="198"/>
        <v>0.86210946676062949</v>
      </c>
      <c r="DP35" s="385">
        <f t="shared" ref="DP35:DS50" si="199">DP10-DP11</f>
        <v>0.51547447007629854</v>
      </c>
      <c r="DQ35" s="385">
        <f t="shared" si="199"/>
        <v>0.56178770805999356</v>
      </c>
      <c r="DR35" s="385">
        <f t="shared" si="199"/>
        <v>0.40725783640884128</v>
      </c>
      <c r="DS35" s="385">
        <f t="shared" si="199"/>
        <v>0.36114709334500983</v>
      </c>
      <c r="DT35" s="167"/>
      <c r="DU35" s="167"/>
      <c r="DV35" s="167"/>
      <c r="DW35" s="167"/>
      <c r="DX35" s="167"/>
      <c r="DY35" s="167"/>
      <c r="DZ35" s="167"/>
      <c r="EA35" s="167"/>
      <c r="EB35" s="167"/>
      <c r="EC35" s="167"/>
      <c r="ED35" s="167"/>
      <c r="EE35" s="167"/>
      <c r="EF35" s="167"/>
      <c r="EG35" s="167"/>
      <c r="EH35" s="167"/>
      <c r="EI35" s="167"/>
      <c r="EJ35" s="167"/>
      <c r="EK35" s="167"/>
      <c r="EL35" s="167"/>
      <c r="FB35" s="167"/>
      <c r="FC35" s="167"/>
      <c r="FD35" s="167"/>
      <c r="FE35" s="167"/>
      <c r="FF35" s="167"/>
      <c r="FG35" s="167"/>
    </row>
    <row r="36" spans="1:163" ht="15.75" hidden="1" outlineLevel="1" thickBot="1" x14ac:dyDescent="0.3">
      <c r="A36" s="333">
        <v>2</v>
      </c>
      <c r="B36" s="269">
        <f t="shared" si="189"/>
        <v>0.2688908493062796</v>
      </c>
      <c r="C36" s="269">
        <f t="shared" si="189"/>
        <v>0.23631123919308358</v>
      </c>
      <c r="D36" s="339"/>
      <c r="E36" s="269">
        <f t="shared" ref="E36:AG36" si="200">E11/E$30</f>
        <v>0.29010960685643317</v>
      </c>
      <c r="F36" s="269">
        <f t="shared" si="200"/>
        <v>0.2724867724867725</v>
      </c>
      <c r="G36" s="339"/>
      <c r="H36" s="306">
        <f t="shared" si="200"/>
        <v>0.34487525668181157</v>
      </c>
      <c r="I36" s="306">
        <f t="shared" si="200"/>
        <v>0.35410334346504557</v>
      </c>
      <c r="J36" s="350"/>
      <c r="K36" s="269">
        <f t="shared" si="200"/>
        <v>0.27260503828160593</v>
      </c>
      <c r="L36" s="269">
        <f t="shared" si="200"/>
        <v>0.29175050301810868</v>
      </c>
      <c r="M36" s="302"/>
      <c r="N36" s="302">
        <f t="shared" si="200"/>
        <v>0.47684637167105159</v>
      </c>
      <c r="O36" s="302">
        <f t="shared" si="200"/>
        <v>0.47415865384615385</v>
      </c>
      <c r="P36" s="302"/>
      <c r="Q36" s="269">
        <f t="shared" si="200"/>
        <v>0.24667419534092858</v>
      </c>
      <c r="R36" s="269">
        <f t="shared" si="200"/>
        <v>0.24366706875753921</v>
      </c>
      <c r="S36" s="350"/>
      <c r="T36" s="306">
        <f t="shared" si="200"/>
        <v>0.4329473274856328</v>
      </c>
      <c r="U36" s="306">
        <f t="shared" si="200"/>
        <v>0.4276923076923077</v>
      </c>
      <c r="V36" s="350"/>
      <c r="W36" s="269">
        <f t="shared" si="200"/>
        <v>0.28160155673121195</v>
      </c>
      <c r="X36" s="269">
        <f t="shared" si="200"/>
        <v>0.26666666666666666</v>
      </c>
      <c r="Y36" s="350"/>
      <c r="Z36" s="306">
        <f t="shared" si="200"/>
        <v>0.37416739870852406</v>
      </c>
      <c r="AA36" s="306">
        <f t="shared" si="200"/>
        <v>0.36785714285714288</v>
      </c>
      <c r="AB36" s="350"/>
      <c r="AC36" s="301">
        <f t="shared" si="200"/>
        <v>0.3154105054071949</v>
      </c>
      <c r="AD36" s="301">
        <f t="shared" si="200"/>
        <v>0.33085501858736061</v>
      </c>
      <c r="AE36" s="301"/>
      <c r="AF36" s="269">
        <f t="shared" si="200"/>
        <v>0.22318924319574351</v>
      </c>
      <c r="AG36" s="269">
        <f t="shared" si="200"/>
        <v>0.22535211267605634</v>
      </c>
      <c r="AH36" s="350"/>
      <c r="AI36" s="306">
        <f t="shared" ref="AI36:AJ36" si="201">AI11/AI$30</f>
        <v>0.42490511261556035</v>
      </c>
      <c r="AJ36" s="306">
        <f t="shared" si="201"/>
        <v>0.41745894554883317</v>
      </c>
      <c r="AK36" s="350"/>
      <c r="AL36" s="390"/>
      <c r="AM36" s="390"/>
      <c r="AN36" s="350"/>
      <c r="AO36" s="316">
        <f t="shared" ref="AO36:AP36" si="202">AO11/AO$30</f>
        <v>0.36881641090983558</v>
      </c>
      <c r="AP36" s="316">
        <f t="shared" si="202"/>
        <v>0.35149863760217986</v>
      </c>
      <c r="AQ36" s="354"/>
      <c r="AR36" s="316">
        <f t="shared" ref="AR36:AS36" si="203">AR11/AR$30</f>
        <v>0.41677736628474421</v>
      </c>
      <c r="AS36" s="316">
        <f t="shared" si="203"/>
        <v>0.39909443725743854</v>
      </c>
      <c r="AT36" s="354"/>
      <c r="AU36" s="316">
        <f t="shared" ref="AU36:AV36" si="204">AU11/AU$30</f>
        <v>0.37752259085308687</v>
      </c>
      <c r="AV36" s="316">
        <f t="shared" si="204"/>
        <v>0.3964165733482643</v>
      </c>
      <c r="AW36" s="354"/>
      <c r="AX36" s="316">
        <f t="shared" ref="AX36:AY36" si="205">AX11/AX$30</f>
        <v>0.30141515115675882</v>
      </c>
      <c r="AY36" s="316">
        <f t="shared" si="205"/>
        <v>0.29159802306425042</v>
      </c>
      <c r="AZ36" s="354"/>
      <c r="BA36" s="316">
        <f t="shared" ref="BA36:BB36" si="206">BA11/BA$30</f>
        <v>0.43105647537681457</v>
      </c>
      <c r="BB36" s="316">
        <f t="shared" si="206"/>
        <v>0.42134484885872919</v>
      </c>
      <c r="BC36" s="354"/>
      <c r="BD36" s="316">
        <f t="shared" si="194"/>
        <v>0.46913393866796643</v>
      </c>
      <c r="BE36" s="316">
        <f t="shared" si="194"/>
        <v>0.46723163841807908</v>
      </c>
      <c r="BF36" s="354"/>
      <c r="BG36" s="314">
        <f t="shared" si="195"/>
        <v>0.35153882585421714</v>
      </c>
      <c r="BH36" s="314">
        <f t="shared" si="188"/>
        <v>0.34643501139061733</v>
      </c>
      <c r="BI36" s="381" t="s">
        <v>275</v>
      </c>
      <c r="BJ36" s="12" t="s">
        <v>60</v>
      </c>
      <c r="BQ36" s="167"/>
      <c r="BR36" s="167"/>
      <c r="BS36" s="167"/>
      <c r="BT36" s="167"/>
      <c r="BU36" s="167"/>
      <c r="BV36" s="167"/>
      <c r="BW36" s="167"/>
      <c r="BX36" s="167"/>
      <c r="BY36" s="167"/>
      <c r="BZ36" s="167"/>
      <c r="CA36" s="167"/>
      <c r="CB36" s="167"/>
      <c r="CC36" s="167"/>
      <c r="CE36" s="374" t="s">
        <v>65</v>
      </c>
      <c r="CF36" s="385">
        <f t="shared" ref="CF36:CW54" si="207">CF11-CF12</f>
        <v>0.14576515772748189</v>
      </c>
      <c r="CG36" s="385">
        <f t="shared" si="207"/>
        <v>0.15594708938038893</v>
      </c>
      <c r="CH36" s="385">
        <f t="shared" si="207"/>
        <v>0.526432301711937</v>
      </c>
      <c r="CI36" s="385">
        <f t="shared" si="207"/>
        <v>0.37615176151761487</v>
      </c>
      <c r="CJ36" s="385">
        <f t="shared" si="207"/>
        <v>0.33871623443255183</v>
      </c>
      <c r="CK36" s="385">
        <f t="shared" si="207"/>
        <v>0.35199300667051414</v>
      </c>
      <c r="CL36" s="385">
        <f t="shared" ref="CL36:CM36" si="208">CL11-CL12</f>
        <v>0.38066714398445511</v>
      </c>
      <c r="CM36" s="385">
        <f t="shared" si="208"/>
        <v>0.22020467213722594</v>
      </c>
      <c r="CN36" s="385">
        <f t="shared" si="207"/>
        <v>0.19148313039357223</v>
      </c>
      <c r="CO36" s="385">
        <f t="shared" si="207"/>
        <v>0.37615176151761487</v>
      </c>
      <c r="CP36" s="385">
        <f t="shared" si="207"/>
        <v>0.28003738410396872</v>
      </c>
      <c r="CQ36" s="385">
        <f t="shared" si="207"/>
        <v>0.29490291262135937</v>
      </c>
      <c r="CR36" s="385">
        <f t="shared" si="207"/>
        <v>0.16741881849072193</v>
      </c>
      <c r="CS36" s="385">
        <f t="shared" si="207"/>
        <v>0.17080852831233573</v>
      </c>
      <c r="CT36" s="385">
        <f t="shared" si="207"/>
        <v>0.41613340795011267</v>
      </c>
      <c r="CU36" s="385">
        <f t="shared" si="207"/>
        <v>0.3596849723286506</v>
      </c>
      <c r="CV36" s="385">
        <f t="shared" si="207"/>
        <v>0.14576515772748189</v>
      </c>
      <c r="CW36" s="385">
        <f t="shared" si="207"/>
        <v>0.15594708938038893</v>
      </c>
      <c r="CX36" s="385">
        <f t="shared" si="196"/>
        <v>0.66255234368643512</v>
      </c>
      <c r="CY36" s="385">
        <f t="shared" si="196"/>
        <v>0.649793729372937</v>
      </c>
      <c r="CZ36" s="385">
        <f t="shared" si="196"/>
        <v>0.21513318295937944</v>
      </c>
      <c r="DA36" s="385">
        <f t="shared" si="196"/>
        <v>0.20930853570418773</v>
      </c>
      <c r="DB36" s="385">
        <f t="shared" si="196"/>
        <v>0.53697727553767161</v>
      </c>
      <c r="DC36" s="385">
        <f t="shared" si="196"/>
        <v>0.50879396984924607</v>
      </c>
      <c r="DD36" s="385">
        <f t="shared" si="196"/>
        <v>0.41702654399980776</v>
      </c>
      <c r="DE36" s="385">
        <f t="shared" si="196"/>
        <v>0.42022498771466132</v>
      </c>
      <c r="DF36" s="385">
        <f t="shared" si="196"/>
        <v>0.41564548092379372</v>
      </c>
      <c r="DG36" s="385">
        <f t="shared" si="196"/>
        <v>0.35910557347869609</v>
      </c>
      <c r="DH36" s="385">
        <f t="shared" si="196"/>
        <v>0.67505145583312265</v>
      </c>
      <c r="DI36" s="385">
        <f t="shared" si="196"/>
        <v>0.66341362126245862</v>
      </c>
      <c r="DJ36" s="385">
        <f t="shared" si="196"/>
        <v>0.21709489770833779</v>
      </c>
      <c r="DK36" s="385">
        <f t="shared" si="196"/>
        <v>0.23686304502333044</v>
      </c>
      <c r="DL36" s="385"/>
      <c r="DM36" s="385"/>
      <c r="DN36" s="385">
        <f t="shared" si="198"/>
        <v>0.2742627746471844</v>
      </c>
      <c r="DO36" s="385">
        <f t="shared" si="198"/>
        <v>0.31392675755145705</v>
      </c>
      <c r="DP36" s="385">
        <f t="shared" ref="DP36:DS36" si="209">DP11-DP12</f>
        <v>0.24681155152017897</v>
      </c>
      <c r="DQ36" s="385">
        <f t="shared" si="209"/>
        <v>0.28440824158423217</v>
      </c>
      <c r="DR36" s="385">
        <f t="shared" si="209"/>
        <v>0.17447778554930293</v>
      </c>
      <c r="DS36" s="385">
        <f t="shared" si="209"/>
        <v>0.16016500762263464</v>
      </c>
      <c r="DT36" s="385">
        <f t="shared" ref="DT36:DU36" si="210">DT11-DT12</f>
        <v>0.83361028609720433</v>
      </c>
      <c r="DU36" s="385">
        <f t="shared" si="210"/>
        <v>0.90547000716492265</v>
      </c>
      <c r="DV36" s="385">
        <f t="shared" ref="DV36:DW36" si="211">DV11-DV12</f>
        <v>0.22502972962566492</v>
      </c>
      <c r="DW36" s="385">
        <f t="shared" si="211"/>
        <v>0.22633298750157582</v>
      </c>
      <c r="DX36" s="166"/>
      <c r="DY36" s="166"/>
      <c r="DZ36" s="166"/>
      <c r="EA36" s="166"/>
      <c r="EB36" s="166"/>
      <c r="EC36" s="166"/>
      <c r="ED36" s="166"/>
      <c r="EE36" s="166"/>
      <c r="EF36" s="166"/>
      <c r="EG36" s="166"/>
      <c r="EH36" s="166"/>
      <c r="EI36" s="166"/>
      <c r="EJ36" s="166"/>
      <c r="EK36" s="166"/>
      <c r="EL36" s="166"/>
      <c r="FB36" s="166"/>
      <c r="FC36" s="166"/>
      <c r="FD36" s="166"/>
      <c r="FE36" s="166"/>
      <c r="FF36" s="166"/>
      <c r="FG36" s="166"/>
    </row>
    <row r="37" spans="1:163" ht="15.75" hidden="1" outlineLevel="1" thickBot="1" x14ac:dyDescent="0.3">
      <c r="A37" s="333">
        <v>3</v>
      </c>
      <c r="B37" s="270">
        <f t="shared" si="189"/>
        <v>0.2834870478787393</v>
      </c>
      <c r="C37" s="270">
        <f t="shared" si="189"/>
        <v>0.25936599423631124</v>
      </c>
      <c r="D37" s="338"/>
      <c r="E37" s="304">
        <f t="shared" ref="E37:AG37" si="212">E12/E$30</f>
        <v>0.31576264931078318</v>
      </c>
      <c r="F37" s="270">
        <f t="shared" si="212"/>
        <v>0.29629629629629628</v>
      </c>
      <c r="G37" s="338"/>
      <c r="H37" s="305">
        <f t="shared" si="212"/>
        <v>0.36600805212864002</v>
      </c>
      <c r="I37" s="305">
        <f t="shared" si="212"/>
        <v>0.37689969604863222</v>
      </c>
      <c r="J37" s="335"/>
      <c r="K37" s="304">
        <f t="shared" si="212"/>
        <v>0.30748630418597417</v>
      </c>
      <c r="L37" s="304">
        <f t="shared" si="212"/>
        <v>0.32595573440643866</v>
      </c>
      <c r="M37" s="304"/>
      <c r="N37" s="270">
        <f t="shared" si="212"/>
        <v>0.51246669483053575</v>
      </c>
      <c r="O37" s="270">
        <f t="shared" si="212"/>
        <v>0.51201923076923073</v>
      </c>
      <c r="P37" s="270"/>
      <c r="Q37" s="270">
        <f t="shared" si="212"/>
        <v>0.29486539293789871</v>
      </c>
      <c r="R37" s="270">
        <f t="shared" si="212"/>
        <v>0.28950542822677927</v>
      </c>
      <c r="S37" s="305"/>
      <c r="T37" s="305">
        <f t="shared" si="212"/>
        <v>0.47741433694853735</v>
      </c>
      <c r="U37" s="305">
        <f t="shared" si="212"/>
        <v>0.46974358974358976</v>
      </c>
      <c r="V37" s="335"/>
      <c r="W37" s="304">
        <f t="shared" si="212"/>
        <v>0.33176965242848333</v>
      </c>
      <c r="X37" s="304">
        <f t="shared" si="212"/>
        <v>0.30852713178294572</v>
      </c>
      <c r="Y37" s="335"/>
      <c r="Z37" s="305">
        <f t="shared" si="212"/>
        <v>0.44334612480157815</v>
      </c>
      <c r="AA37" s="305">
        <f t="shared" si="212"/>
        <v>0.43511904761904763</v>
      </c>
      <c r="AB37" s="335"/>
      <c r="AC37" s="303">
        <f t="shared" si="212"/>
        <v>0.3629993378945045</v>
      </c>
      <c r="AD37" s="303">
        <f t="shared" si="212"/>
        <v>0.37546468401486988</v>
      </c>
      <c r="AE37" s="335"/>
      <c r="AF37" s="270">
        <f t="shared" si="212"/>
        <v>0.26278092761787825</v>
      </c>
      <c r="AG37" s="270">
        <f t="shared" si="212"/>
        <v>0.26496478873239437</v>
      </c>
      <c r="AH37" s="305"/>
      <c r="AI37" s="270">
        <f t="shared" ref="AI37:AJ37" si="213">AI12/AI$30</f>
        <v>0.46808333432484206</v>
      </c>
      <c r="AJ37" s="270">
        <f t="shared" si="213"/>
        <v>0.46326707000864303</v>
      </c>
      <c r="AK37" s="305"/>
      <c r="AL37" s="391"/>
      <c r="AM37" s="391"/>
      <c r="AN37" s="305"/>
      <c r="AO37" s="316">
        <f t="shared" ref="AO37:AP37" si="214">AO12/AO$30</f>
        <v>0.4103215027515123</v>
      </c>
      <c r="AP37" s="316">
        <f t="shared" si="214"/>
        <v>0.39509536784741145</v>
      </c>
      <c r="AQ37" s="313"/>
      <c r="AR37" s="316">
        <f t="shared" ref="AR37:AS37" si="215">AR12/AR$30</f>
        <v>0.46456506979689871</v>
      </c>
      <c r="AS37" s="316">
        <f t="shared" si="215"/>
        <v>0.45019404915912031</v>
      </c>
      <c r="AT37" s="313"/>
      <c r="AU37" s="316">
        <f t="shared" ref="AU37:AV37" si="216">AU12/AU$30</f>
        <v>0.40414322442805489</v>
      </c>
      <c r="AV37" s="316">
        <f t="shared" si="216"/>
        <v>0.42329227323628221</v>
      </c>
      <c r="AW37" s="313"/>
      <c r="AX37" s="316">
        <f t="shared" ref="AX37:AY37" si="217">AX12/AX$30</f>
        <v>0.40256466385902268</v>
      </c>
      <c r="AY37" s="316">
        <f t="shared" si="217"/>
        <v>0.39621087314662273</v>
      </c>
      <c r="AZ37" s="313"/>
      <c r="BA37" s="316">
        <f t="shared" ref="BA37:BB37" si="218">BA12/BA$30</f>
        <v>0.47736071385425616</v>
      </c>
      <c r="BB37" s="316">
        <f t="shared" si="218"/>
        <v>0.46576187538556446</v>
      </c>
      <c r="BC37" s="313"/>
      <c r="BD37" s="316">
        <f t="shared" ref="BD37:BE37" si="219">BD12/BD$30</f>
        <v>0.51163887707861211</v>
      </c>
      <c r="BE37" s="316">
        <f t="shared" si="219"/>
        <v>0.5011299435028248</v>
      </c>
      <c r="BF37" s="313"/>
      <c r="BG37" s="313">
        <f t="shared" si="195"/>
        <v>0.39516525639751632</v>
      </c>
      <c r="BH37" s="313">
        <f t="shared" si="188"/>
        <v>0.3901698963704866</v>
      </c>
      <c r="BI37" s="313"/>
      <c r="BJ37" s="12"/>
      <c r="CE37" s="374" t="s">
        <v>72</v>
      </c>
      <c r="CF37" s="385">
        <f t="shared" si="207"/>
        <v>7.7760854254784295E-2</v>
      </c>
      <c r="CG37" s="385">
        <f t="shared" si="196"/>
        <v>8.5487108961287417E-2</v>
      </c>
      <c r="CH37" s="385">
        <f t="shared" si="196"/>
        <v>0.22550130341431895</v>
      </c>
      <c r="CI37" s="385">
        <f t="shared" si="196"/>
        <v>0.2029239766081874</v>
      </c>
      <c r="CJ37" s="385">
        <f t="shared" si="196"/>
        <v>0.2121528570007527</v>
      </c>
      <c r="CK37" s="385">
        <f t="shared" si="196"/>
        <v>0.21680672904695797</v>
      </c>
      <c r="CL37" s="385">
        <f t="shared" si="197"/>
        <v>0.14774044915953466</v>
      </c>
      <c r="CM37" s="385">
        <f t="shared" si="197"/>
        <v>0.11743686764689998</v>
      </c>
      <c r="CN37" s="385">
        <f t="shared" si="196"/>
        <v>0.22550130341431895</v>
      </c>
      <c r="CO37" s="385">
        <f t="shared" si="196"/>
        <v>0.2029239766081874</v>
      </c>
      <c r="CP37" s="385">
        <f t="shared" si="196"/>
        <v>0.32016350219800582</v>
      </c>
      <c r="CQ37" s="385">
        <f t="shared" si="196"/>
        <v>0.31427125506072873</v>
      </c>
      <c r="CR37" s="385">
        <f t="shared" si="196"/>
        <v>0.15291139981591595</v>
      </c>
      <c r="CS37" s="385">
        <f t="shared" si="196"/>
        <v>0.16080156402737078</v>
      </c>
      <c r="CT37" s="385">
        <f t="shared" si="196"/>
        <v>0.2845279831850922</v>
      </c>
      <c r="CU37" s="385">
        <f t="shared" si="196"/>
        <v>0.27576640310722711</v>
      </c>
      <c r="CV37" s="385">
        <f t="shared" si="196"/>
        <v>7.7760854254784295E-2</v>
      </c>
      <c r="CW37" s="385">
        <f t="shared" si="196"/>
        <v>8.5487108961287417E-2</v>
      </c>
      <c r="CX37" s="385">
        <f t="shared" si="196"/>
        <v>0.23790639478991249</v>
      </c>
      <c r="CY37" s="385">
        <f t="shared" si="196"/>
        <v>0.26570512820512793</v>
      </c>
      <c r="CZ37" s="385">
        <f t="shared" si="196"/>
        <v>0.12206174099483103</v>
      </c>
      <c r="DA37" s="385">
        <f t="shared" si="196"/>
        <v>0.12264812119251722</v>
      </c>
      <c r="DB37" s="385">
        <f t="shared" si="196"/>
        <v>0.24680046614751161</v>
      </c>
      <c r="DC37" s="385">
        <f t="shared" si="196"/>
        <v>0.28249043382047878</v>
      </c>
      <c r="DD37" s="385">
        <f t="shared" si="196"/>
        <v>0.18698776056713839</v>
      </c>
      <c r="DE37" s="385">
        <f t="shared" si="196"/>
        <v>0.19031697181805241</v>
      </c>
      <c r="DF37" s="385">
        <f t="shared" si="196"/>
        <v>0.20842624238985019</v>
      </c>
      <c r="DG37" s="385">
        <f t="shared" si="196"/>
        <v>0.21791179117911819</v>
      </c>
      <c r="DH37" s="385">
        <f t="shared" si="196"/>
        <v>0.23671678656948814</v>
      </c>
      <c r="DI37" s="385">
        <f t="shared" si="196"/>
        <v>0.2570585149604514</v>
      </c>
      <c r="DJ37" s="385">
        <f t="shared" si="196"/>
        <v>0.19335803819282038</v>
      </c>
      <c r="DK37" s="385">
        <f t="shared" si="196"/>
        <v>0.1808043117744611</v>
      </c>
      <c r="DL37" s="385"/>
      <c r="DM37" s="385"/>
      <c r="DN37" s="385">
        <f t="shared" si="198"/>
        <v>0.14435641378189112</v>
      </c>
      <c r="DO37" s="385">
        <f t="shared" si="198"/>
        <v>0.17090586539527663</v>
      </c>
      <c r="DP37" s="385">
        <f t="shared" ref="DP37:DQ37" si="220">DP12-DP13</f>
        <v>0.17132006607072814</v>
      </c>
      <c r="DQ37" s="385">
        <f t="shared" si="220"/>
        <v>0.18437372222979409</v>
      </c>
      <c r="DR37" s="385">
        <f t="shared" si="199"/>
        <v>0.4536820153178418</v>
      </c>
      <c r="DS37" s="385">
        <f t="shared" si="199"/>
        <v>0.43231858865864625</v>
      </c>
      <c r="DT37" s="385">
        <f t="shared" ref="DT37:DU37" si="221">DT12-DT13</f>
        <v>0.21561722950339668</v>
      </c>
      <c r="DU37" s="385">
        <f t="shared" si="221"/>
        <v>0.22901249366277687</v>
      </c>
      <c r="DV37" s="385">
        <f t="shared" ref="DV37:DW37" si="222">DV12-DV13</f>
        <v>0.15306430138800864</v>
      </c>
      <c r="DW37" s="385">
        <f t="shared" si="222"/>
        <v>0.1531699290502837</v>
      </c>
      <c r="DX37" s="166"/>
      <c r="DY37" s="166"/>
      <c r="DZ37" s="166"/>
      <c r="EA37" s="166"/>
      <c r="EB37" s="166"/>
      <c r="EC37" s="166"/>
      <c r="ED37" s="166"/>
      <c r="EE37" s="166"/>
      <c r="EF37" s="166"/>
      <c r="EG37" s="166"/>
      <c r="EH37" s="166"/>
      <c r="EI37" s="166"/>
      <c r="EJ37" s="166"/>
      <c r="EK37" s="166"/>
      <c r="EL37" s="166"/>
      <c r="FB37" s="166"/>
      <c r="FC37" s="166"/>
      <c r="FD37" s="166"/>
      <c r="FE37" s="166"/>
      <c r="FF37" s="166"/>
      <c r="FG37" s="166"/>
    </row>
    <row r="38" spans="1:163" ht="15.75" hidden="1" outlineLevel="1" thickBot="1" x14ac:dyDescent="0.3">
      <c r="A38" s="333">
        <v>4</v>
      </c>
      <c r="B38" s="301">
        <f t="shared" si="189"/>
        <v>0.30284706071056222</v>
      </c>
      <c r="C38" s="269">
        <f t="shared" si="189"/>
        <v>0.2737752161383285</v>
      </c>
      <c r="D38" s="339"/>
      <c r="E38" s="306">
        <f t="shared" ref="E38:AG38" si="223">E13/E$30</f>
        <v>0.35127503646727321</v>
      </c>
      <c r="F38" s="301">
        <f t="shared" si="223"/>
        <v>0.32671957671957674</v>
      </c>
      <c r="G38" s="339"/>
      <c r="H38" s="269">
        <f t="shared" si="223"/>
        <v>0.38770676023089234</v>
      </c>
      <c r="I38" s="269">
        <f t="shared" si="223"/>
        <v>0.40121580547112462</v>
      </c>
      <c r="J38" s="350"/>
      <c r="K38" s="306">
        <f t="shared" si="223"/>
        <v>0.33696703003633699</v>
      </c>
      <c r="L38" s="306">
        <f t="shared" si="223"/>
        <v>0.35814889336016098</v>
      </c>
      <c r="M38" s="350"/>
      <c r="N38" s="269">
        <f t="shared" si="223"/>
        <v>0.53373599300643726</v>
      </c>
      <c r="O38" s="269">
        <f t="shared" si="223"/>
        <v>0.53545673076923073</v>
      </c>
      <c r="P38" s="301"/>
      <c r="Q38" s="301">
        <f t="shared" si="223"/>
        <v>0.31711083284038444</v>
      </c>
      <c r="R38" s="301">
        <f t="shared" si="223"/>
        <v>0.31363088057901084</v>
      </c>
      <c r="S38" s="301"/>
      <c r="T38" s="269">
        <f t="shared" si="223"/>
        <v>0.50695674718057293</v>
      </c>
      <c r="U38" s="269">
        <f t="shared" si="223"/>
        <v>0.49846153846153846</v>
      </c>
      <c r="V38" s="350"/>
      <c r="W38" s="306">
        <f t="shared" si="223"/>
        <v>0.36135796999470088</v>
      </c>
      <c r="X38" s="306">
        <f t="shared" si="223"/>
        <v>0.33798449612403103</v>
      </c>
      <c r="Y38" s="350"/>
      <c r="Z38" s="269">
        <f t="shared" si="223"/>
        <v>0.48342194892659546</v>
      </c>
      <c r="AA38" s="269">
        <f t="shared" si="223"/>
        <v>0.47440476190476188</v>
      </c>
      <c r="AB38" s="302"/>
      <c r="AC38" s="302">
        <f t="shared" si="223"/>
        <v>0.39271132200397263</v>
      </c>
      <c r="AD38" s="302">
        <f t="shared" si="223"/>
        <v>0.40892193308550184</v>
      </c>
      <c r="AE38" s="302"/>
      <c r="AF38" s="269">
        <f t="shared" si="223"/>
        <v>0.28021138035222032</v>
      </c>
      <c r="AG38" s="269">
        <f t="shared" si="223"/>
        <v>0.28433098591549294</v>
      </c>
      <c r="AH38" s="269"/>
      <c r="AI38" s="269">
        <f t="shared" ref="AI38:AJ38" si="224">AI13/AI$30</f>
        <v>0.51466441395885631</v>
      </c>
      <c r="AJ38" s="269">
        <f t="shared" si="224"/>
        <v>0.5056179775280899</v>
      </c>
      <c r="AK38" s="269"/>
      <c r="AL38" s="392"/>
      <c r="AM38" s="392"/>
      <c r="AN38" s="269"/>
      <c r="AO38" s="316">
        <f t="shared" ref="AO38:AP38" si="225">AO13/AO$30</f>
        <v>0.43615613897656097</v>
      </c>
      <c r="AP38" s="316">
        <f t="shared" si="225"/>
        <v>0.42370572207084467</v>
      </c>
      <c r="AQ38" s="354"/>
      <c r="AR38" s="316">
        <f t="shared" ref="AR38:AS38" si="226">AR13/AR$30</f>
        <v>0.50473672145508308</v>
      </c>
      <c r="AS38" s="316">
        <f t="shared" si="226"/>
        <v>0.4909443725743855</v>
      </c>
      <c r="AT38" s="354"/>
      <c r="AU38" s="316">
        <f t="shared" ref="AU38:AV38" si="227">AU13/AU$30</f>
        <v>0.49488087654914648</v>
      </c>
      <c r="AV38" s="316">
        <f t="shared" si="227"/>
        <v>0.51810377006345654</v>
      </c>
      <c r="AW38" s="354"/>
      <c r="AX38" s="316">
        <f t="shared" ref="AX38:AY38" si="228">AX13/AX$30</f>
        <v>0.44082852591451149</v>
      </c>
      <c r="AY38" s="316">
        <f t="shared" si="228"/>
        <v>0.43574958813838549</v>
      </c>
      <c r="AZ38" s="354"/>
      <c r="BA38" s="316">
        <f t="shared" ref="BA38:BB38" si="229">BA13/BA$30</f>
        <v>0.51498938348965884</v>
      </c>
      <c r="BB38" s="316">
        <f t="shared" si="229"/>
        <v>0.5015422578655151</v>
      </c>
      <c r="BC38" s="354"/>
      <c r="BD38" s="316">
        <f t="shared" ref="BD38:BE38" si="230">BD13/BD$30</f>
        <v>0.54238713039695152</v>
      </c>
      <c r="BE38" s="316">
        <f t="shared" si="230"/>
        <v>0.5299435028248588</v>
      </c>
      <c r="BF38" s="354"/>
      <c r="BG38" s="313">
        <f t="shared" si="195"/>
        <v>0.43002167260884655</v>
      </c>
      <c r="BH38" s="313">
        <f t="shared" si="188"/>
        <v>0.42527397005337142</v>
      </c>
      <c r="BI38" s="313"/>
      <c r="BJ38" s="12"/>
      <c r="CE38" s="374" t="s">
        <v>73</v>
      </c>
      <c r="CF38" s="448">
        <f t="shared" si="207"/>
        <v>6.9110647687149918E-2</v>
      </c>
      <c r="CG38" s="449">
        <f t="shared" si="196"/>
        <v>9.4566519671306803E-2</v>
      </c>
      <c r="CH38" s="449">
        <f t="shared" si="196"/>
        <v>0.3436551759959281</v>
      </c>
      <c r="CI38" s="449">
        <f t="shared" si="196"/>
        <v>0.52650545282124206</v>
      </c>
      <c r="CJ38" s="449">
        <f t="shared" si="196"/>
        <v>0.14601214534962681</v>
      </c>
      <c r="CK38" s="449">
        <f t="shared" si="196"/>
        <v>0.1609938369788857</v>
      </c>
      <c r="CL38" s="449">
        <f t="shared" si="197"/>
        <v>0.27454452830877818</v>
      </c>
      <c r="CM38" s="450">
        <f t="shared" si="197"/>
        <v>0.43193893314993526</v>
      </c>
      <c r="CN38" s="385">
        <f t="shared" si="196"/>
        <v>0.45337202469196036</v>
      </c>
      <c r="CO38" s="385">
        <f t="shared" si="196"/>
        <v>0.52650545282124206</v>
      </c>
      <c r="CP38" s="385">
        <f t="shared" si="196"/>
        <v>0.14216946683521492</v>
      </c>
      <c r="CQ38" s="385">
        <f t="shared" si="196"/>
        <v>0.19709238130290752</v>
      </c>
      <c r="CR38" s="385">
        <f t="shared" si="196"/>
        <v>0.14257290966122182</v>
      </c>
      <c r="CS38" s="385">
        <f t="shared" si="196"/>
        <v>0.14242424242424212</v>
      </c>
      <c r="CT38" s="385">
        <f t="shared" si="196"/>
        <v>0.20896632969793583</v>
      </c>
      <c r="CU38" s="385">
        <f t="shared" si="196"/>
        <v>0.19004059062297785</v>
      </c>
      <c r="CV38" s="385">
        <f t="shared" si="196"/>
        <v>5.2379440451822523E-2</v>
      </c>
      <c r="CW38" s="385">
        <f t="shared" si="196"/>
        <v>5.4928368653858861E-2</v>
      </c>
      <c r="CX38" s="385">
        <f t="shared" si="196"/>
        <v>0.19513004264583644</v>
      </c>
      <c r="CY38" s="385">
        <f t="shared" si="196"/>
        <v>0.24874522640480112</v>
      </c>
      <c r="CZ38" s="385">
        <f t="shared" si="196"/>
        <v>4.9867776038700296E-2</v>
      </c>
      <c r="DA38" s="385">
        <f t="shared" si="196"/>
        <v>4.4402215763718056E-2</v>
      </c>
      <c r="DB38" s="385">
        <f t="shared" si="196"/>
        <v>0.1722490408399473</v>
      </c>
      <c r="DC38" s="385">
        <f t="shared" si="196"/>
        <v>0.21403474526644528</v>
      </c>
      <c r="DD38" s="385">
        <f t="shared" si="196"/>
        <v>0.12524495731117846</v>
      </c>
      <c r="DE38" s="385">
        <f t="shared" si="196"/>
        <v>0.12443356802886862</v>
      </c>
      <c r="DF38" s="385">
        <f t="shared" si="196"/>
        <v>0.13228050488324428</v>
      </c>
      <c r="DG38" s="385">
        <f t="shared" si="196"/>
        <v>0.12648902821316588</v>
      </c>
      <c r="DH38" s="385">
        <f t="shared" si="196"/>
        <v>0.27004877130939331</v>
      </c>
      <c r="DI38" s="385">
        <f t="shared" si="196"/>
        <v>0.28056062730985332</v>
      </c>
      <c r="DJ38" s="385">
        <f t="shared" si="196"/>
        <v>7.3890348329762823E-2</v>
      </c>
      <c r="DK38" s="385">
        <f t="shared" si="196"/>
        <v>8.4160756501182155E-2</v>
      </c>
      <c r="DL38" s="385"/>
      <c r="DM38" s="385"/>
      <c r="DN38" s="385">
        <f t="shared" si="198"/>
        <v>0.12026324439710523</v>
      </c>
      <c r="DO38" s="385">
        <f t="shared" si="198"/>
        <v>0.13925115896697493</v>
      </c>
      <c r="DP38" s="385">
        <f t="shared" ref="DP38:DQ38" si="231">DP13-DP14</f>
        <v>6.8056914542991453E-2</v>
      </c>
      <c r="DQ38" s="385">
        <f t="shared" si="231"/>
        <v>7.9928620269842154E-2</v>
      </c>
      <c r="DR38" s="385">
        <f t="shared" si="199"/>
        <v>0.15529590054161413</v>
      </c>
      <c r="DS38" s="385">
        <f t="shared" si="199"/>
        <v>0.15711725921532205</v>
      </c>
      <c r="DT38" s="385">
        <f t="shared" ref="DT38:DU38" si="232">DT13-DT14</f>
        <v>0.10714264262096851</v>
      </c>
      <c r="DU38" s="385">
        <f t="shared" si="232"/>
        <v>0.11144279283567471</v>
      </c>
      <c r="DV38" s="385">
        <f t="shared" ref="DV38:DW38" si="233">DV13-DV14</f>
        <v>0.13731278210453279</v>
      </c>
      <c r="DW38" s="385">
        <f t="shared" si="233"/>
        <v>0.13490498437094467</v>
      </c>
      <c r="DX38" s="166"/>
      <c r="DY38" s="166"/>
      <c r="DZ38" s="166"/>
      <c r="EA38" s="166"/>
      <c r="EB38" s="166"/>
      <c r="EC38" s="166"/>
      <c r="ED38" s="166"/>
      <c r="EE38" s="166"/>
      <c r="EF38" s="166"/>
      <c r="EG38" s="166"/>
      <c r="EH38" s="166"/>
      <c r="EI38" s="166"/>
      <c r="EJ38" s="166"/>
      <c r="EK38" s="166"/>
      <c r="EL38" s="166"/>
      <c r="FB38" s="166"/>
      <c r="FC38" s="166"/>
      <c r="FD38" s="166"/>
      <c r="FE38" s="166"/>
      <c r="FF38" s="166"/>
      <c r="FG38" s="166"/>
    </row>
    <row r="39" spans="1:163" ht="15.75" hidden="1" outlineLevel="1" thickBot="1" x14ac:dyDescent="0.3">
      <c r="A39" s="333">
        <v>5</v>
      </c>
      <c r="B39" s="303">
        <f t="shared" si="189"/>
        <v>0.35104659555698131</v>
      </c>
      <c r="C39" s="270">
        <f t="shared" si="189"/>
        <v>0.31988472622478387</v>
      </c>
      <c r="D39" s="338"/>
      <c r="E39" s="305">
        <f t="shared" ref="E39:AG39" si="234">E14/E$30</f>
        <v>0.36974007182148905</v>
      </c>
      <c r="F39" s="303">
        <f t="shared" si="234"/>
        <v>0.34920634920634919</v>
      </c>
      <c r="G39" s="338"/>
      <c r="H39" s="270">
        <f t="shared" si="234"/>
        <v>0.41039177324688342</v>
      </c>
      <c r="I39" s="270">
        <f t="shared" si="234"/>
        <v>0.42553191489361702</v>
      </c>
      <c r="J39" s="305"/>
      <c r="K39" s="305">
        <f t="shared" si="234"/>
        <v>0.36249180473602916</v>
      </c>
      <c r="L39" s="305">
        <f t="shared" si="234"/>
        <v>0.38430583501006038</v>
      </c>
      <c r="M39" s="305"/>
      <c r="N39" s="270">
        <f t="shared" si="234"/>
        <v>0.54908669591805148</v>
      </c>
      <c r="O39" s="270">
        <f t="shared" si="234"/>
        <v>0.55168269230769229</v>
      </c>
      <c r="P39" s="335"/>
      <c r="Q39" s="303">
        <f t="shared" si="234"/>
        <v>0.33802723126602086</v>
      </c>
      <c r="R39" s="303">
        <f t="shared" si="234"/>
        <v>0.34016887816646563</v>
      </c>
      <c r="S39" s="335"/>
      <c r="T39" s="270">
        <f t="shared" si="234"/>
        <v>0.52010543144795407</v>
      </c>
      <c r="U39" s="270">
        <f t="shared" si="234"/>
        <v>0.5097435897435898</v>
      </c>
      <c r="V39" s="305"/>
      <c r="W39" s="305">
        <f t="shared" si="234"/>
        <v>0.38534309765187252</v>
      </c>
      <c r="X39" s="305">
        <f t="shared" si="234"/>
        <v>0.36434108527131781</v>
      </c>
      <c r="Y39" s="305"/>
      <c r="Z39" s="270">
        <f t="shared" si="234"/>
        <v>0.51457765037680891</v>
      </c>
      <c r="AA39" s="270">
        <f t="shared" si="234"/>
        <v>0.50416666666666665</v>
      </c>
      <c r="AB39" s="270"/>
      <c r="AC39" s="270">
        <f t="shared" si="234"/>
        <v>0.41422975060693001</v>
      </c>
      <c r="AD39" s="270">
        <f t="shared" si="234"/>
        <v>0.43122676579925651</v>
      </c>
      <c r="AE39" s="304"/>
      <c r="AF39" s="304">
        <f t="shared" si="234"/>
        <v>0.30315104386102182</v>
      </c>
      <c r="AG39" s="304">
        <f t="shared" si="234"/>
        <v>0.30897887323943662</v>
      </c>
      <c r="AH39" s="304"/>
      <c r="AI39" s="304">
        <f t="shared" ref="AI39:AJ39" si="235">AI14/AI$30</f>
        <v>0.53501017287946029</v>
      </c>
      <c r="AJ39" s="304">
        <f t="shared" si="235"/>
        <v>0.5280898876404494</v>
      </c>
      <c r="AK39" s="304"/>
      <c r="AL39" s="393"/>
      <c r="AM39" s="393"/>
      <c r="AN39" s="304"/>
      <c r="AO39" s="316">
        <f t="shared" ref="AO39:AP39" si="236">AO14/AO$30</f>
        <v>0.46030053730062509</v>
      </c>
      <c r="AP39" s="316">
        <f t="shared" si="236"/>
        <v>0.45027247956403271</v>
      </c>
      <c r="AQ39" s="313"/>
      <c r="AR39" s="316">
        <f t="shared" ref="AR39:AS39" si="237">AR14/AR$30</f>
        <v>0.52269160887538435</v>
      </c>
      <c r="AS39" s="316">
        <f t="shared" si="237"/>
        <v>0.51099611901681763</v>
      </c>
      <c r="AT39" s="313"/>
      <c r="AU39" s="316">
        <f t="shared" ref="AU39:AV39" si="238">AU14/AU$30</f>
        <v>0.53608023555181883</v>
      </c>
      <c r="AV39" s="316">
        <f t="shared" si="238"/>
        <v>0.56401642403882046</v>
      </c>
      <c r="AW39" s="313"/>
      <c r="AX39" s="316">
        <f t="shared" ref="AX39:AY39" si="239">AX14/AX$30</f>
        <v>0.46268169159643108</v>
      </c>
      <c r="AY39" s="316">
        <f t="shared" si="239"/>
        <v>0.45799011532125206</v>
      </c>
      <c r="AZ39" s="313"/>
      <c r="BA39" s="316">
        <f t="shared" ref="BA39:BB39" si="240">BA14/BA$30</f>
        <v>0.55417786327516338</v>
      </c>
      <c r="BB39" s="316">
        <f t="shared" si="240"/>
        <v>0.53793954349167183</v>
      </c>
      <c r="BC39" s="313"/>
      <c r="BD39" s="316">
        <f t="shared" ref="BD39:BE39" si="241">BD14/BD$30</f>
        <v>0.5622770299454225</v>
      </c>
      <c r="BE39" s="316">
        <f t="shared" si="241"/>
        <v>0.5485875706214689</v>
      </c>
      <c r="BF39" s="313"/>
      <c r="BG39" s="313">
        <f t="shared" si="195"/>
        <v>0.45537388825674402</v>
      </c>
      <c r="BH39" s="313">
        <f t="shared" si="188"/>
        <v>0.45184769202267766</v>
      </c>
      <c r="BI39" s="313"/>
      <c r="BJ39" s="12"/>
      <c r="CE39" s="834" t="s">
        <v>74</v>
      </c>
      <c r="CF39" s="385">
        <f t="shared" si="207"/>
        <v>8.3071742396004122E-2</v>
      </c>
      <c r="CG39" s="385">
        <f t="shared" si="196"/>
        <v>9.6527426324599874E-2</v>
      </c>
      <c r="CH39" s="385">
        <f t="shared" si="196"/>
        <v>0.19616884079805708</v>
      </c>
      <c r="CI39" s="385">
        <f t="shared" si="196"/>
        <v>0.10873482177829974</v>
      </c>
      <c r="CJ39" s="385">
        <f t="shared" si="196"/>
        <v>0.12827180882635458</v>
      </c>
      <c r="CK39" s="385">
        <f t="shared" si="196"/>
        <v>0.13071758571807779</v>
      </c>
      <c r="CL39" s="385">
        <f t="shared" si="197"/>
        <v>0.11309709840205295</v>
      </c>
      <c r="CM39" s="385">
        <f t="shared" si="197"/>
        <v>1.2207395453699865E-2</v>
      </c>
      <c r="CN39" s="385">
        <f t="shared" si="196"/>
        <v>8.6451992102024811E-2</v>
      </c>
      <c r="CO39" s="385">
        <f t="shared" si="196"/>
        <v>0.10873482177829974</v>
      </c>
      <c r="CP39" s="385">
        <f t="shared" si="196"/>
        <v>8.4399479770497887E-2</v>
      </c>
      <c r="CQ39" s="385">
        <f t="shared" si="196"/>
        <v>0.10451227604512292</v>
      </c>
      <c r="CR39" s="385">
        <f t="shared" si="196"/>
        <v>0.13878968573629846</v>
      </c>
      <c r="CS39" s="385">
        <f t="shared" si="196"/>
        <v>0.11190476190476195</v>
      </c>
      <c r="CT39" s="385">
        <f t="shared" si="196"/>
        <v>0.3577065621691764</v>
      </c>
      <c r="CU39" s="385">
        <f t="shared" si="196"/>
        <v>0.34300333174678688</v>
      </c>
      <c r="CV39" s="385">
        <f t="shared" si="196"/>
        <v>5.8010286895302299E-2</v>
      </c>
      <c r="CW39" s="385">
        <f t="shared" si="196"/>
        <v>6.6571107864854984E-2</v>
      </c>
      <c r="CX39" s="385">
        <f t="shared" si="196"/>
        <v>0.37146580745511359</v>
      </c>
      <c r="CY39" s="385">
        <f t="shared" si="196"/>
        <v>0.39677152678066374</v>
      </c>
      <c r="CZ39" s="385">
        <f t="shared" si="196"/>
        <v>4.4166337707995496E-2</v>
      </c>
      <c r="DA39" s="385">
        <f t="shared" si="196"/>
        <v>4.2479285159777724E-2</v>
      </c>
      <c r="DB39" s="385">
        <f t="shared" si="196"/>
        <v>6.8354799155871504E-2</v>
      </c>
      <c r="DC39" s="385">
        <f t="shared" si="196"/>
        <v>6.8332303345987722E-2</v>
      </c>
      <c r="DD39" s="385">
        <f t="shared" si="196"/>
        <v>9.9394861821818337E-2</v>
      </c>
      <c r="DE39" s="385">
        <f t="shared" si="196"/>
        <v>0.11887617981856713</v>
      </c>
      <c r="DF39" s="385">
        <f t="shared" si="196"/>
        <v>0.18168711459343978</v>
      </c>
      <c r="DG39" s="385">
        <f t="shared" si="196"/>
        <v>0.13197364732268024</v>
      </c>
      <c r="DH39" s="385">
        <f t="shared" si="196"/>
        <v>0.3805328979470759</v>
      </c>
      <c r="DI39" s="385">
        <f t="shared" si="196"/>
        <v>0.36051786937862929</v>
      </c>
      <c r="DJ39" s="385">
        <f t="shared" si="196"/>
        <v>6.243804098627459E-2</v>
      </c>
      <c r="DK39" s="385">
        <f t="shared" si="196"/>
        <v>6.5812913851635235E-2</v>
      </c>
      <c r="DL39" s="385"/>
      <c r="DM39" s="385"/>
      <c r="DN39" s="385">
        <f t="shared" si="198"/>
        <v>0.13137932228742422</v>
      </c>
      <c r="DO39" s="385">
        <f t="shared" si="198"/>
        <v>0.14155734508192142</v>
      </c>
      <c r="DP39" s="385">
        <f t="shared" ref="DP39:DQ39" si="242">DP14-DP15</f>
        <v>6.2706332389219632E-2</v>
      </c>
      <c r="DQ39" s="385">
        <f t="shared" si="242"/>
        <v>7.3892597789050107E-2</v>
      </c>
      <c r="DR39" s="385">
        <f t="shared" si="199"/>
        <v>0.10143388323442615</v>
      </c>
      <c r="DS39" s="385">
        <f t="shared" si="199"/>
        <v>9.6527426324599874E-2</v>
      </c>
      <c r="DT39" s="385">
        <f t="shared" ref="DT39:DU39" si="243">DT14-DT15</f>
        <v>0.12089269252077672</v>
      </c>
      <c r="DU39" s="385">
        <f t="shared" si="243"/>
        <v>0.12930772133562218</v>
      </c>
      <c r="DV39" s="385">
        <f t="shared" ref="DV39:DW39" si="244">DV14-DV15</f>
        <v>8.3071742396004122E-2</v>
      </c>
      <c r="DW39" s="385">
        <f t="shared" si="244"/>
        <v>9.1224125338909223E-2</v>
      </c>
      <c r="DX39" s="166"/>
      <c r="DY39" s="166"/>
      <c r="DZ39" s="166"/>
      <c r="EA39" s="166"/>
      <c r="EB39" s="166"/>
      <c r="EC39" s="166"/>
      <c r="ED39" s="166"/>
      <c r="EE39" s="166"/>
      <c r="EF39" s="166"/>
      <c r="EG39" s="166"/>
      <c r="EH39" s="166"/>
      <c r="EI39" s="166"/>
      <c r="EJ39" s="166"/>
      <c r="EK39" s="166"/>
      <c r="EL39" s="166"/>
      <c r="FB39" s="166"/>
      <c r="FC39" s="166"/>
      <c r="FD39" s="166"/>
      <c r="FE39" s="166"/>
      <c r="FF39" s="166"/>
      <c r="FG39" s="166"/>
    </row>
    <row r="40" spans="1:163" ht="15.75" hidden="1" outlineLevel="1" thickBot="1" x14ac:dyDescent="0.3">
      <c r="A40" s="833">
        <v>6</v>
      </c>
      <c r="B40" s="302">
        <f t="shared" si="189"/>
        <v>0.36203384393295374</v>
      </c>
      <c r="C40" s="301">
        <f t="shared" si="189"/>
        <v>0.33141210374639768</v>
      </c>
      <c r="D40" s="340"/>
      <c r="E40" s="269">
        <f t="shared" ref="E40:AG40" si="245">E15/E$30</f>
        <v>0.38164978529709842</v>
      </c>
      <c r="F40" s="302">
        <f t="shared" si="245"/>
        <v>0.36243386243386244</v>
      </c>
      <c r="G40" s="340"/>
      <c r="H40" s="269">
        <f t="shared" si="245"/>
        <v>0.43517874755444891</v>
      </c>
      <c r="I40" s="269">
        <f t="shared" si="245"/>
        <v>0.44680851063829785</v>
      </c>
      <c r="J40" s="269"/>
      <c r="K40" s="269">
        <f t="shared" si="245"/>
        <v>0.41649720527608314</v>
      </c>
      <c r="L40" s="269">
        <f t="shared" si="245"/>
        <v>0.44265593561368211</v>
      </c>
      <c r="M40" s="269"/>
      <c r="N40" s="269">
        <f t="shared" si="245"/>
        <v>0.56715200542084765</v>
      </c>
      <c r="O40" s="269">
        <f t="shared" si="245"/>
        <v>0.57271634615384615</v>
      </c>
      <c r="P40" s="302"/>
      <c r="Q40" s="302">
        <f t="shared" si="245"/>
        <v>0.38656669406694372</v>
      </c>
      <c r="R40" s="302">
        <f t="shared" si="245"/>
        <v>0.39324487334137515</v>
      </c>
      <c r="S40" s="302"/>
      <c r="T40" s="269">
        <f t="shared" si="245"/>
        <v>0.53233375102622826</v>
      </c>
      <c r="U40" s="269">
        <f t="shared" si="245"/>
        <v>0.52102564102564097</v>
      </c>
      <c r="V40" s="269"/>
      <c r="W40" s="269">
        <f t="shared" si="245"/>
        <v>0.39576763701753931</v>
      </c>
      <c r="X40" s="269">
        <f t="shared" si="245"/>
        <v>0.37364341085271319</v>
      </c>
      <c r="Y40" s="269"/>
      <c r="Z40" s="269">
        <f t="shared" si="245"/>
        <v>0.5423151016382326</v>
      </c>
      <c r="AA40" s="269">
        <f t="shared" si="245"/>
        <v>0.53630952380952379</v>
      </c>
      <c r="AB40" s="269"/>
      <c r="AC40" s="269">
        <f t="shared" si="245"/>
        <v>0.44794195541822995</v>
      </c>
      <c r="AD40" s="269">
        <f t="shared" si="245"/>
        <v>0.45724907063197023</v>
      </c>
      <c r="AE40" s="350"/>
      <c r="AF40" s="306">
        <f t="shared" si="245"/>
        <v>0.34268254025575901</v>
      </c>
      <c r="AG40" s="306">
        <f t="shared" si="245"/>
        <v>0.34771126760563381</v>
      </c>
      <c r="AH40" s="350"/>
      <c r="AI40" s="304">
        <f t="shared" ref="AI40:AJ40" si="246">AI15/AI$30</f>
        <v>0.55349982747748283</v>
      </c>
      <c r="AJ40" s="304">
        <f t="shared" si="246"/>
        <v>0.54710458081244595</v>
      </c>
      <c r="AK40" s="350"/>
      <c r="AL40" s="393"/>
      <c r="AM40" s="393"/>
      <c r="AN40" s="350"/>
      <c r="AO40" s="316">
        <f t="shared" ref="AO40:AP40" si="247">AO15/AO$30</f>
        <v>0.48992845743038332</v>
      </c>
      <c r="AP40" s="316">
        <f t="shared" si="247"/>
        <v>0.48092643051771117</v>
      </c>
      <c r="AQ40" s="354"/>
      <c r="AR40" s="316">
        <f t="shared" ref="AR40:AS40" si="248">AR15/AR$30</f>
        <v>0.5404039278774152</v>
      </c>
      <c r="AS40" s="316">
        <f t="shared" si="248"/>
        <v>0.53104786545924965</v>
      </c>
      <c r="AT40" s="354"/>
      <c r="AU40" s="316">
        <f t="shared" ref="AU40:AV40" si="249">AU15/AU$30</f>
        <v>0.56690675405480839</v>
      </c>
      <c r="AV40" s="316">
        <f t="shared" si="249"/>
        <v>0.59649122807017541</v>
      </c>
      <c r="AW40" s="354"/>
      <c r="AX40" s="316">
        <f t="shared" ref="AX40:AY40" si="250">AX15/AX$30</f>
        <v>0.49009507922081302</v>
      </c>
      <c r="AY40" s="316">
        <f t="shared" si="250"/>
        <v>0.48682042833607908</v>
      </c>
      <c r="AZ40" s="354"/>
      <c r="BA40" s="316">
        <f t="shared" ref="BA40:BB40" si="251">BA15/BA$30</f>
        <v>0.58092146638732345</v>
      </c>
      <c r="BB40" s="316">
        <f t="shared" si="251"/>
        <v>0.56570018507094388</v>
      </c>
      <c r="BC40" s="354"/>
      <c r="BD40" s="316">
        <f t="shared" ref="BD40:BE40" si="252">BD15/BD$30</f>
        <v>0.58643249600815328</v>
      </c>
      <c r="BE40" s="316">
        <f t="shared" si="252"/>
        <v>0.57288135593220335</v>
      </c>
      <c r="BF40" s="354"/>
      <c r="BG40" s="313">
        <f t="shared" si="195"/>
        <v>0.48057451494355197</v>
      </c>
      <c r="BH40" s="313">
        <f t="shared" si="188"/>
        <v>0.47784937478211975</v>
      </c>
      <c r="BI40" s="313"/>
      <c r="BJ40" s="12"/>
      <c r="BP40" s="167"/>
      <c r="CD40" s="167"/>
      <c r="CE40" s="834" t="s">
        <v>75</v>
      </c>
      <c r="CF40" s="385">
        <f t="shared" si="207"/>
        <v>9.8308241852793188E-2</v>
      </c>
      <c r="CG40" s="385">
        <f t="shared" si="196"/>
        <v>8.2600856434527969E-2</v>
      </c>
      <c r="CH40" s="385">
        <f t="shared" si="196"/>
        <v>0.18380214530463013</v>
      </c>
      <c r="CI40" s="385">
        <f t="shared" si="196"/>
        <v>0.21900420757363293</v>
      </c>
      <c r="CJ40" s="385">
        <f t="shared" si="196"/>
        <v>0.11485273895036041</v>
      </c>
      <c r="CK40" s="385">
        <f t="shared" si="196"/>
        <v>0.12118007038467438</v>
      </c>
      <c r="CL40" s="385">
        <f t="shared" si="197"/>
        <v>8.5493903451836939E-2</v>
      </c>
      <c r="CM40" s="385">
        <f t="shared" si="197"/>
        <v>0.13640335113910496</v>
      </c>
      <c r="CN40" s="385">
        <f t="shared" si="196"/>
        <v>0.18380214530463013</v>
      </c>
      <c r="CO40" s="385">
        <f t="shared" si="196"/>
        <v>0.21900420757363293</v>
      </c>
      <c r="CP40" s="385">
        <f t="shared" si="196"/>
        <v>0.1684128729345753</v>
      </c>
      <c r="CQ40" s="385">
        <f t="shared" si="196"/>
        <v>0.19641222318446117</v>
      </c>
      <c r="CR40" s="385">
        <f t="shared" si="196"/>
        <v>8.8335228535640464E-2</v>
      </c>
      <c r="CS40" s="385">
        <f t="shared" si="196"/>
        <v>0.1017316017316019</v>
      </c>
      <c r="CT40" s="385">
        <f t="shared" si="196"/>
        <v>0.16367445363659172</v>
      </c>
      <c r="CU40" s="385">
        <f t="shared" si="196"/>
        <v>0.15315870570107881</v>
      </c>
      <c r="CV40" s="385">
        <f t="shared" si="196"/>
        <v>0.14010090458882241</v>
      </c>
      <c r="CW40" s="385">
        <f t="shared" si="196"/>
        <v>0.1521953259117208</v>
      </c>
      <c r="CX40" s="385">
        <f t="shared" si="196"/>
        <v>0.21284311097900721</v>
      </c>
      <c r="CY40" s="385">
        <f t="shared" si="196"/>
        <v>0.2044398487457495</v>
      </c>
      <c r="CZ40" s="385">
        <f t="shared" si="196"/>
        <v>5.2109889707866008E-2</v>
      </c>
      <c r="DA40" s="385">
        <f t="shared" si="196"/>
        <v>5.504659670887202E-2</v>
      </c>
      <c r="DB40" s="385">
        <f t="shared" si="196"/>
        <v>0.22534967727672406</v>
      </c>
      <c r="DC40" s="385">
        <f t="shared" si="196"/>
        <v>0.2145164866491398</v>
      </c>
      <c r="DD40" s="385">
        <f t="shared" si="196"/>
        <v>8.9133935069228842E-2</v>
      </c>
      <c r="DE40" s="385">
        <f t="shared" si="196"/>
        <v>0.10174074975572212</v>
      </c>
      <c r="DF40" s="385">
        <f t="shared" si="196"/>
        <v>6.5396767427968516E-2</v>
      </c>
      <c r="DG40" s="385">
        <f t="shared" si="196"/>
        <v>6.8881633698226974E-2</v>
      </c>
      <c r="DH40" s="385">
        <f t="shared" si="196"/>
        <v>0.27949062297929173</v>
      </c>
      <c r="DI40" s="385">
        <f t="shared" si="196"/>
        <v>0.26445511421504397</v>
      </c>
      <c r="DJ40" s="385">
        <f t="shared" si="196"/>
        <v>7.6326242047245918E-2</v>
      </c>
      <c r="DK40" s="385">
        <f t="shared" si="196"/>
        <v>7.7425892598939283E-2</v>
      </c>
      <c r="DL40" s="385"/>
      <c r="DM40" s="385"/>
      <c r="DN40" s="385">
        <f t="shared" si="198"/>
        <v>9.1130185779637607E-2</v>
      </c>
      <c r="DO40" s="385">
        <f t="shared" si="198"/>
        <v>0.11149169508388468</v>
      </c>
      <c r="DP40" s="385">
        <f t="shared" ref="DP40:DQ40" si="253">DP15-DP16</f>
        <v>7.7445491069044525E-2</v>
      </c>
      <c r="DQ40" s="385">
        <f t="shared" si="253"/>
        <v>7.4882293024481683E-2</v>
      </c>
      <c r="DR40" s="385">
        <f t="shared" si="199"/>
        <v>6.3125788918451775E-2</v>
      </c>
      <c r="DS40" s="385">
        <f t="shared" si="199"/>
        <v>6.066841694458236E-2</v>
      </c>
      <c r="DT40" s="385">
        <f t="shared" ref="DT40:DU40" si="254">DT15-DT16</f>
        <v>7.6421533061247215E-2</v>
      </c>
      <c r="DU40" s="385">
        <f t="shared" si="254"/>
        <v>7.6946819006046052E-2</v>
      </c>
      <c r="DV40" s="385">
        <f t="shared" ref="DV40:DW40" si="255">DV15-DV16</f>
        <v>6.4035596869094435E-2</v>
      </c>
      <c r="DW40" s="385">
        <f t="shared" si="255"/>
        <v>7.0338629836651512E-2</v>
      </c>
      <c r="DX40" s="167"/>
      <c r="DY40" s="167"/>
      <c r="DZ40" s="167"/>
      <c r="EA40" s="167"/>
      <c r="EB40" s="167"/>
      <c r="EC40" s="167"/>
      <c r="ED40" s="167"/>
      <c r="EE40" s="167"/>
      <c r="EF40" s="167"/>
      <c r="EG40" s="167"/>
      <c r="EH40" s="167"/>
      <c r="EI40" s="167"/>
      <c r="EJ40" s="167"/>
      <c r="EK40" s="167"/>
      <c r="EL40" s="167"/>
      <c r="FB40" s="167"/>
      <c r="FC40" s="167"/>
      <c r="FD40" s="167"/>
      <c r="FE40" s="167"/>
      <c r="FF40" s="167"/>
      <c r="FG40" s="167"/>
    </row>
    <row r="41" spans="1:163" ht="15.75" hidden="1" outlineLevel="1" thickBot="1" x14ac:dyDescent="0.3">
      <c r="A41" s="833">
        <v>7</v>
      </c>
      <c r="B41" s="270">
        <f t="shared" si="189"/>
        <v>0.38784184778250058</v>
      </c>
      <c r="C41" s="303">
        <f t="shared" si="189"/>
        <v>0.35734870317002881</v>
      </c>
      <c r="E41" s="270">
        <f t="shared" ref="E41:AG41" si="256">E16/E$30</f>
        <v>0.40786521461502862</v>
      </c>
      <c r="F41" s="270">
        <f t="shared" si="256"/>
        <v>0.39021164021164023</v>
      </c>
      <c r="H41" s="270">
        <f t="shared" si="256"/>
        <v>0.45257651947547983</v>
      </c>
      <c r="I41" s="270">
        <f t="shared" si="256"/>
        <v>0.46808510638297873</v>
      </c>
      <c r="J41" s="270"/>
      <c r="K41" s="270">
        <f t="shared" si="256"/>
        <v>0.44696691891411361</v>
      </c>
      <c r="L41" s="270">
        <f t="shared" si="256"/>
        <v>0.47484909456740443</v>
      </c>
      <c r="M41" s="270"/>
      <c r="N41" s="270">
        <f t="shared" si="256"/>
        <v>0.61610694462453519</v>
      </c>
      <c r="O41" s="270">
        <f t="shared" si="256"/>
        <v>0.62740384615384615</v>
      </c>
      <c r="P41" s="270"/>
      <c r="Q41" s="270">
        <f t="shared" si="256"/>
        <v>0.42122420340736527</v>
      </c>
      <c r="R41" s="270">
        <f t="shared" si="256"/>
        <v>0.42762364294330518</v>
      </c>
      <c r="S41" s="270"/>
      <c r="T41" s="270">
        <f t="shared" si="256"/>
        <v>0.54752192887698226</v>
      </c>
      <c r="U41" s="270">
        <f t="shared" si="256"/>
        <v>0.53641025641025641</v>
      </c>
      <c r="V41" s="270"/>
      <c r="W41" s="270">
        <f t="shared" si="256"/>
        <v>0.43452086210940555</v>
      </c>
      <c r="X41" s="270">
        <f t="shared" si="256"/>
        <v>0.40620155038759692</v>
      </c>
      <c r="Y41" s="270"/>
      <c r="Z41" s="270">
        <f t="shared" si="256"/>
        <v>0.56986145144636058</v>
      </c>
      <c r="AA41" s="270">
        <f t="shared" si="256"/>
        <v>0.56726190476190474</v>
      </c>
      <c r="AB41" s="270"/>
      <c r="AC41" s="270">
        <f t="shared" si="256"/>
        <v>0.46145994261752371</v>
      </c>
      <c r="AD41" s="270">
        <f t="shared" si="256"/>
        <v>0.47211895910780671</v>
      </c>
      <c r="AE41" s="305"/>
      <c r="AF41" s="305">
        <f t="shared" si="256"/>
        <v>0.37897993331166563</v>
      </c>
      <c r="AG41" s="305">
        <f t="shared" si="256"/>
        <v>0.38292253521126762</v>
      </c>
      <c r="AH41" s="305"/>
      <c r="AI41" s="304">
        <f t="shared" ref="AI41:AJ41" si="257">AI16/AI$30</f>
        <v>0.57791473818220762</v>
      </c>
      <c r="AJ41" s="304">
        <f t="shared" si="257"/>
        <v>0.57130509939498708</v>
      </c>
      <c r="AK41" s="305"/>
      <c r="AL41" s="304">
        <f t="shared" ref="AL41:AM41" si="258">AL16/AL$30</f>
        <v>0.50067862104204253</v>
      </c>
      <c r="AM41" s="304">
        <f t="shared" si="258"/>
        <v>0.51764705882352946</v>
      </c>
      <c r="AN41" s="305"/>
      <c r="AO41" s="316">
        <f t="shared" ref="AO41:AP41" si="259">AO16/AO$30</f>
        <v>0.5128246800737204</v>
      </c>
      <c r="AP41" s="316">
        <f t="shared" si="259"/>
        <v>0.50817438692098094</v>
      </c>
      <c r="AQ41" s="313"/>
      <c r="AR41" s="316">
        <f t="shared" ref="AR41:AS41" si="260">AR16/AR$30</f>
        <v>0.56400873550393471</v>
      </c>
      <c r="AS41" s="316">
        <f t="shared" si="260"/>
        <v>0.5530401034928849</v>
      </c>
      <c r="AT41" s="313"/>
      <c r="AU41" s="316">
        <f t="shared" ref="AU41:AV41" si="261">AU16/AU$30</f>
        <v>0.58794729225509379</v>
      </c>
      <c r="AV41" s="316">
        <f t="shared" si="261"/>
        <v>0.61888764464352375</v>
      </c>
      <c r="AW41" s="313"/>
      <c r="AX41" s="316">
        <f t="shared" ref="AX41:AY41" si="262">AX16/AX$30</f>
        <v>0.50916526191603528</v>
      </c>
      <c r="AY41" s="316">
        <f t="shared" si="262"/>
        <v>0.50576606260296542</v>
      </c>
      <c r="AZ41" s="313"/>
      <c r="BA41" s="316">
        <f t="shared" ref="BA41:BB41" si="263">BA16/BA$30</f>
        <v>0.60336649036051326</v>
      </c>
      <c r="BB41" s="316">
        <f t="shared" si="263"/>
        <v>0.58914250462677364</v>
      </c>
      <c r="BC41" s="313"/>
      <c r="BD41" s="316">
        <f t="shared" ref="BD41:BE55" si="264">BD16/BD$30</f>
        <v>0.60034457336738234</v>
      </c>
      <c r="BE41" s="316">
        <f t="shared" si="264"/>
        <v>0.58757062146892658</v>
      </c>
      <c r="BF41" s="313"/>
      <c r="BG41" s="382">
        <f t="shared" si="195"/>
        <v>0.50632331451004997</v>
      </c>
      <c r="BH41" s="382">
        <f t="shared" si="188"/>
        <v>0.50461440661118018</v>
      </c>
      <c r="BI41" s="383" t="s">
        <v>274</v>
      </c>
      <c r="BJ41" s="384" t="s">
        <v>75</v>
      </c>
      <c r="BQ41" s="167"/>
      <c r="BR41" s="167"/>
      <c r="BS41" s="167"/>
      <c r="BT41" s="167"/>
      <c r="BU41" s="167"/>
      <c r="BV41" s="167"/>
      <c r="BW41" s="167"/>
      <c r="BX41" s="167"/>
      <c r="BY41" s="167"/>
      <c r="BZ41" s="167"/>
      <c r="CA41" s="167"/>
      <c r="CB41" s="167"/>
      <c r="CC41" s="167"/>
      <c r="CE41" s="834" t="s">
        <v>147</v>
      </c>
      <c r="CF41" s="385">
        <f t="shared" si="207"/>
        <v>7.2197680810996756E-2</v>
      </c>
      <c r="CG41" s="385">
        <f t="shared" si="196"/>
        <v>5.8814381247260572E-2</v>
      </c>
      <c r="CH41" s="385">
        <f t="shared" si="196"/>
        <v>0.23302892220250593</v>
      </c>
      <c r="CI41" s="385">
        <f t="shared" si="196"/>
        <v>0.24691650853889957</v>
      </c>
      <c r="CJ41" s="385">
        <f t="shared" si="196"/>
        <v>0.11557027200313508</v>
      </c>
      <c r="CK41" s="385">
        <f t="shared" si="196"/>
        <v>0.1145673310391051</v>
      </c>
      <c r="CL41" s="385">
        <f t="shared" si="197"/>
        <v>0.16083124139150917</v>
      </c>
      <c r="CM41" s="385">
        <f t="shared" si="197"/>
        <v>0.188102127291639</v>
      </c>
      <c r="CN41" s="385">
        <f t="shared" si="196"/>
        <v>0.24151385040250117</v>
      </c>
      <c r="CO41" s="385">
        <f t="shared" si="196"/>
        <v>0.24691650853889957</v>
      </c>
      <c r="CP41" s="385">
        <f t="shared" si="196"/>
        <v>0.10644872466052036</v>
      </c>
      <c r="CQ41" s="385">
        <f t="shared" si="196"/>
        <v>0.10816640986132509</v>
      </c>
      <c r="CR41" s="385">
        <f t="shared" si="196"/>
        <v>0.10575275258120609</v>
      </c>
      <c r="CS41" s="385">
        <f t="shared" si="196"/>
        <v>0.11174825174825154</v>
      </c>
      <c r="CT41" s="385">
        <f t="shared" si="196"/>
        <v>0.18111687455309644</v>
      </c>
      <c r="CU41" s="385">
        <f t="shared" si="196"/>
        <v>0.14150532591947473</v>
      </c>
      <c r="CV41" s="385">
        <f t="shared" si="196"/>
        <v>7.2197680810996756E-2</v>
      </c>
      <c r="CW41" s="385">
        <f t="shared" si="196"/>
        <v>5.8814381247260572E-2</v>
      </c>
      <c r="CX41" s="385">
        <f t="shared" si="196"/>
        <v>0.23845747610406764</v>
      </c>
      <c r="CY41" s="385">
        <f t="shared" si="196"/>
        <v>0.24507059309598089</v>
      </c>
      <c r="CZ41" s="385">
        <f t="shared" si="196"/>
        <v>4.6864537163943343E-2</v>
      </c>
      <c r="DA41" s="385">
        <f t="shared" si="196"/>
        <v>5.5339361539853194E-2</v>
      </c>
      <c r="DB41" s="385">
        <f t="shared" si="196"/>
        <v>0.18852250960537509</v>
      </c>
      <c r="DC41" s="385">
        <f t="shared" si="196"/>
        <v>0.21444530148682084</v>
      </c>
      <c r="DD41" s="385">
        <f t="shared" si="196"/>
        <v>7.6298169434927621E-2</v>
      </c>
      <c r="DE41" s="385">
        <f t="shared" si="196"/>
        <v>7.2713299735453596E-2</v>
      </c>
      <c r="DF41" s="385">
        <f t="shared" si="196"/>
        <v>0.11588096360527533</v>
      </c>
      <c r="DG41" s="385">
        <f t="shared" si="196"/>
        <v>0.11064754965330792</v>
      </c>
      <c r="DH41" s="385">
        <f t="shared" si="196"/>
        <v>0.22077384235715991</v>
      </c>
      <c r="DI41" s="385">
        <f t="shared" si="196"/>
        <v>0.22493963102482395</v>
      </c>
      <c r="DJ41" s="385">
        <f t="shared" si="196"/>
        <v>6.0606397402576118E-2</v>
      </c>
      <c r="DK41" s="385">
        <f t="shared" si="196"/>
        <v>6.6244299251057681E-2</v>
      </c>
      <c r="DL41" s="385">
        <f t="shared" si="198"/>
        <v>0.12009358327651465</v>
      </c>
      <c r="DM41" s="385">
        <f t="shared" si="198"/>
        <v>0.11557886557886565</v>
      </c>
      <c r="DN41" s="385">
        <f t="shared" si="198"/>
        <v>8.6923917124505312E-2</v>
      </c>
      <c r="DO41" s="385">
        <f t="shared" si="198"/>
        <v>8.818693295527491E-2</v>
      </c>
      <c r="DP41" s="385">
        <f t="shared" ref="DP41:DQ41" si="265">DP16-DP17</f>
        <v>7.1644856054507988E-2</v>
      </c>
      <c r="DQ41" s="385">
        <f t="shared" si="265"/>
        <v>5.5352667382742471E-2</v>
      </c>
      <c r="DR41" s="385">
        <f t="shared" si="199"/>
        <v>6.0487918471313185E-2</v>
      </c>
      <c r="DS41" s="385">
        <f t="shared" si="199"/>
        <v>5.8244031755828152E-2</v>
      </c>
      <c r="DT41" s="385">
        <f t="shared" ref="DT41:DU41" si="266">DT16-DT17</f>
        <v>0.1173595363050659</v>
      </c>
      <c r="DU41" s="385">
        <f t="shared" si="266"/>
        <v>0.11523550688435491</v>
      </c>
      <c r="DV41" s="385">
        <f t="shared" ref="DV41:DW41" si="267">DV16-DV17</f>
        <v>7.9048187770274669E-2</v>
      </c>
      <c r="DW41" s="385">
        <f t="shared" si="267"/>
        <v>8.4446875569795132E-2</v>
      </c>
      <c r="DX41" s="166"/>
      <c r="DY41" s="166"/>
      <c r="DZ41" s="166"/>
      <c r="EA41" s="166"/>
      <c r="EB41" s="166"/>
      <c r="EC41" s="166"/>
      <c r="ED41" s="166"/>
      <c r="EE41" s="166"/>
      <c r="EF41" s="166"/>
      <c r="EG41" s="166"/>
      <c r="EH41" s="166"/>
      <c r="EI41" s="166"/>
      <c r="EJ41" s="166"/>
      <c r="EK41" s="166"/>
      <c r="EL41" s="166"/>
      <c r="FB41" s="166"/>
      <c r="FC41" s="166"/>
      <c r="FD41" s="166"/>
      <c r="FE41" s="166"/>
      <c r="FF41" s="166"/>
      <c r="FG41" s="166"/>
    </row>
    <row r="42" spans="1:163" ht="15.75" hidden="1" outlineLevel="1" thickBot="1" x14ac:dyDescent="0.3">
      <c r="A42" s="833">
        <v>8</v>
      </c>
      <c r="B42" s="269">
        <f t="shared" si="189"/>
        <v>0.42792525463148606</v>
      </c>
      <c r="C42" s="302">
        <f t="shared" si="189"/>
        <v>0.39193083573487031</v>
      </c>
      <c r="D42" s="341"/>
      <c r="E42" s="269">
        <f t="shared" ref="E42:AG42" si="268">E17/E$30</f>
        <v>0.42637711554120949</v>
      </c>
      <c r="F42" s="269">
        <f t="shared" si="268"/>
        <v>0.40740740740740738</v>
      </c>
      <c r="G42" s="341"/>
      <c r="H42" s="269">
        <f t="shared" si="268"/>
        <v>0.47532620822351934</v>
      </c>
      <c r="I42" s="269">
        <f t="shared" si="268"/>
        <v>0.4939209726443769</v>
      </c>
      <c r="J42" s="269"/>
      <c r="K42" s="269">
        <f t="shared" si="268"/>
        <v>0.48633752264115299</v>
      </c>
      <c r="L42" s="269">
        <f t="shared" si="268"/>
        <v>0.50905432595573441</v>
      </c>
      <c r="M42" s="269"/>
      <c r="N42" s="269">
        <f t="shared" si="268"/>
        <v>0.64478808082751582</v>
      </c>
      <c r="O42" s="301">
        <f t="shared" si="268"/>
        <v>0.65144230769230771</v>
      </c>
      <c r="P42" s="301"/>
      <c r="Q42" s="269">
        <f t="shared" si="268"/>
        <v>0.46825793135590399</v>
      </c>
      <c r="R42" s="269">
        <f t="shared" si="268"/>
        <v>0.47768395657418578</v>
      </c>
      <c r="S42" s="269"/>
      <c r="T42" s="269">
        <f t="shared" si="268"/>
        <v>0.56194097567298962</v>
      </c>
      <c r="U42" s="269">
        <f t="shared" si="268"/>
        <v>0.55282051282051281</v>
      </c>
      <c r="V42" s="269"/>
      <c r="W42" s="269">
        <f t="shared" si="268"/>
        <v>0.47329146143354789</v>
      </c>
      <c r="X42" s="269">
        <f t="shared" si="268"/>
        <v>0.4449612403100775</v>
      </c>
      <c r="Y42" s="269"/>
      <c r="Z42" s="269">
        <f t="shared" si="268"/>
        <v>0.59576494521244627</v>
      </c>
      <c r="AA42" s="269">
        <f t="shared" si="268"/>
        <v>0.59166666666666667</v>
      </c>
      <c r="AB42" s="269"/>
      <c r="AC42" s="269">
        <f t="shared" si="268"/>
        <v>0.48753034650187599</v>
      </c>
      <c r="AD42" s="269">
        <f t="shared" si="268"/>
        <v>0.49814126394052044</v>
      </c>
      <c r="AE42" s="269"/>
      <c r="AF42" s="269">
        <f t="shared" si="268"/>
        <v>0.4135840365301201</v>
      </c>
      <c r="AG42" s="269">
        <f t="shared" si="268"/>
        <v>0.41901408450704225</v>
      </c>
      <c r="AH42" s="269"/>
      <c r="AI42" s="304">
        <f t="shared" ref="AI42:AJ42" si="269">AI17/AI$30</f>
        <v>0.59889109664830398</v>
      </c>
      <c r="AJ42" s="304">
        <f t="shared" si="269"/>
        <v>0.59377700950734658</v>
      </c>
      <c r="AK42" s="269"/>
      <c r="AL42" s="304">
        <f t="shared" ref="AL42:AM42" si="270">AL17/AL$30</f>
        <v>0.53270953422645184</v>
      </c>
      <c r="AM42" s="304">
        <f t="shared" si="270"/>
        <v>0.5505882352941176</v>
      </c>
      <c r="AN42" s="269"/>
      <c r="AO42" s="316">
        <f t="shared" ref="AO42:AP42" si="271">AO17/AO$30</f>
        <v>0.53675129774515762</v>
      </c>
      <c r="AP42" s="316">
        <f t="shared" si="271"/>
        <v>0.53201634877384196</v>
      </c>
      <c r="AQ42" s="354"/>
      <c r="AR42" s="316">
        <f t="shared" ref="AR42:AS42" si="272">AR17/AR$30</f>
        <v>0.58775909587709707</v>
      </c>
      <c r="AS42" s="316">
        <f t="shared" si="272"/>
        <v>0.57050452781371286</v>
      </c>
      <c r="AT42" s="354"/>
      <c r="AU42" s="316">
        <f t="shared" ref="AU42:AV42" si="273">AU17/AU$30</f>
        <v>0.60962792157301515</v>
      </c>
      <c r="AV42" s="316">
        <f t="shared" si="273"/>
        <v>0.64203060843598359</v>
      </c>
      <c r="AW42" s="354"/>
      <c r="AX42" s="316">
        <f t="shared" ref="AX42:AY42" si="274">AX17/AX$30</f>
        <v>0.54152426017312394</v>
      </c>
      <c r="AY42" s="316">
        <f t="shared" si="274"/>
        <v>0.53706754530477763</v>
      </c>
      <c r="AZ42" s="354"/>
      <c r="BA42" s="316">
        <f t="shared" ref="BA42:BB42" si="275">BA17/BA$30</f>
        <v>0.63358536168860957</v>
      </c>
      <c r="BB42" s="316">
        <f t="shared" si="275"/>
        <v>0.61998766193707588</v>
      </c>
      <c r="BC42" s="354"/>
      <c r="BD42" s="316">
        <f t="shared" si="264"/>
        <v>0.61940849042475277</v>
      </c>
      <c r="BE42" s="316">
        <f t="shared" si="264"/>
        <v>0.60621468926553668</v>
      </c>
      <c r="BF42" s="354"/>
      <c r="BG42" s="313">
        <f t="shared" si="195"/>
        <v>0.53472992973418454</v>
      </c>
      <c r="BH42" s="313">
        <f t="shared" si="188"/>
        <v>0.53215082446996242</v>
      </c>
      <c r="CE42" s="834" t="s">
        <v>148</v>
      </c>
      <c r="CF42" s="385">
        <f t="shared" si="207"/>
        <v>4.3875054718877315E-2</v>
      </c>
      <c r="CG42" s="385">
        <f t="shared" si="196"/>
        <v>3.8652472855663866E-2</v>
      </c>
      <c r="CH42" s="385">
        <f t="shared" si="196"/>
        <v>0.10818790727233241</v>
      </c>
      <c r="CI42" s="385">
        <f t="shared" si="196"/>
        <v>0.10780861640430794</v>
      </c>
      <c r="CJ42" s="385">
        <f t="shared" si="196"/>
        <v>8.4854395986304398E-2</v>
      </c>
      <c r="CK42" s="385">
        <f t="shared" si="196"/>
        <v>9.248221088668851E-2</v>
      </c>
      <c r="CL42" s="385">
        <f t="shared" si="197"/>
        <v>6.4312852553455091E-2</v>
      </c>
      <c r="CM42" s="385">
        <f t="shared" si="197"/>
        <v>6.9156143548644078E-2</v>
      </c>
      <c r="CN42" s="385">
        <f t="shared" si="196"/>
        <v>9.9702979072337161E-2</v>
      </c>
      <c r="CO42" s="385">
        <f t="shared" si="196"/>
        <v>0.10780861640430794</v>
      </c>
      <c r="CP42" s="385">
        <f t="shared" si="196"/>
        <v>0.11678176670562479</v>
      </c>
      <c r="CQ42" s="385">
        <f t="shared" si="196"/>
        <v>0.15667311411992246</v>
      </c>
      <c r="CR42" s="385">
        <f t="shared" si="196"/>
        <v>0.1497267247284757</v>
      </c>
      <c r="CS42" s="385">
        <f t="shared" si="196"/>
        <v>0.14461538461538481</v>
      </c>
      <c r="CT42" s="385">
        <f t="shared" si="196"/>
        <v>9.8624965571375123E-2</v>
      </c>
      <c r="CU42" s="385">
        <f t="shared" si="196"/>
        <v>0.10300365649657284</v>
      </c>
      <c r="CV42" s="385">
        <f t="shared" si="196"/>
        <v>4.3875054718877315E-2</v>
      </c>
      <c r="CW42" s="385">
        <f t="shared" si="196"/>
        <v>3.8652472855663866E-2</v>
      </c>
      <c r="CX42" s="385">
        <f t="shared" si="196"/>
        <v>0.13297514574150426</v>
      </c>
      <c r="CY42" s="385">
        <f t="shared" si="196"/>
        <v>0.14513822122517772</v>
      </c>
      <c r="CZ42" s="385">
        <f t="shared" si="196"/>
        <v>4.2279504028683634E-2</v>
      </c>
      <c r="DA42" s="385">
        <f t="shared" si="196"/>
        <v>3.9395398482772181E-2</v>
      </c>
      <c r="DB42" s="385">
        <f t="shared" si="196"/>
        <v>0.20903589326107541</v>
      </c>
      <c r="DC42" s="385">
        <f t="shared" si="196"/>
        <v>0.2566460188411408</v>
      </c>
      <c r="DD42" s="385">
        <f t="shared" si="196"/>
        <v>7.2519729246474762E-2</v>
      </c>
      <c r="DE42" s="385">
        <f t="shared" si="196"/>
        <v>7.4756229685807085E-2</v>
      </c>
      <c r="DF42" s="385">
        <f t="shared" si="196"/>
        <v>3.5360797143403566E-2</v>
      </c>
      <c r="DG42" s="385">
        <f t="shared" si="196"/>
        <v>5.8187324248323735E-2</v>
      </c>
      <c r="DH42" s="385">
        <f t="shared" si="196"/>
        <v>0.21531469511779866</v>
      </c>
      <c r="DI42" s="385">
        <f t="shared" si="196"/>
        <v>0.21861569055102947</v>
      </c>
      <c r="DJ42" s="385">
        <f t="shared" si="196"/>
        <v>4.2038897150301402E-2</v>
      </c>
      <c r="DK42" s="385">
        <f t="shared" si="196"/>
        <v>4.299916380191382E-2</v>
      </c>
      <c r="DL42" s="385">
        <f t="shared" si="198"/>
        <v>0.13678320626031271</v>
      </c>
      <c r="DM42" s="385">
        <f t="shared" si="198"/>
        <v>4.5405982905982967E-2</v>
      </c>
      <c r="DN42" s="385">
        <f t="shared" si="198"/>
        <v>8.925373333390163E-2</v>
      </c>
      <c r="DO42" s="385">
        <f t="shared" si="198"/>
        <v>9.1578147881865357E-2</v>
      </c>
      <c r="DP42" s="385">
        <f t="shared" ref="DP42:DQ42" si="276">DP17-DP18</f>
        <v>4.2086277868983002E-2</v>
      </c>
      <c r="DQ42" s="385">
        <f t="shared" si="276"/>
        <v>4.454717430250188E-2</v>
      </c>
      <c r="DR42" s="385">
        <f t="shared" si="199"/>
        <v>4.0514016822763788E-2</v>
      </c>
      <c r="DS42" s="385">
        <f t="shared" si="199"/>
        <v>3.9711114039132855E-2</v>
      </c>
      <c r="DT42" s="385">
        <f t="shared" ref="DT42:DU42" si="277">DT17-DT18</f>
        <v>9.8929259021288907E-2</v>
      </c>
      <c r="DU42" s="385">
        <f t="shared" si="277"/>
        <v>9.2283889892503801E-2</v>
      </c>
      <c r="DV42" s="385">
        <f t="shared" ref="DV42:DW42" si="278">DV17-DV18</f>
        <v>4.3965591365801249E-2</v>
      </c>
      <c r="DW42" s="385">
        <f t="shared" si="278"/>
        <v>4.3719447294023661E-2</v>
      </c>
      <c r="DX42" s="166"/>
      <c r="DY42" s="166"/>
      <c r="DZ42" s="166"/>
      <c r="EA42" s="166"/>
      <c r="EB42" s="166"/>
      <c r="EC42" s="166"/>
      <c r="ED42" s="166"/>
      <c r="EE42" s="166"/>
      <c r="EF42" s="166"/>
      <c r="EG42" s="166"/>
      <c r="EH42" s="166"/>
      <c r="EI42" s="166"/>
      <c r="EJ42" s="166"/>
      <c r="EK42" s="166"/>
      <c r="EL42" s="166"/>
      <c r="FB42" s="166"/>
      <c r="FC42" s="166"/>
      <c r="FD42" s="166"/>
      <c r="FE42" s="166"/>
      <c r="FF42" s="166"/>
      <c r="FG42" s="166"/>
    </row>
    <row r="43" spans="1:163" ht="15.75" hidden="1" outlineLevel="1" thickBot="1" x14ac:dyDescent="0.3">
      <c r="A43" s="833">
        <v>9</v>
      </c>
      <c r="B43" s="270">
        <f t="shared" si="189"/>
        <v>0.44699655144759004</v>
      </c>
      <c r="C43" s="270">
        <f t="shared" si="189"/>
        <v>0.40922190201729108</v>
      </c>
      <c r="D43" s="338"/>
      <c r="E43" s="270">
        <f t="shared" ref="E43:AG43" si="279">E18/E$30</f>
        <v>0.4487202769755303</v>
      </c>
      <c r="F43" s="270">
        <f t="shared" si="279"/>
        <v>0.43518518518518517</v>
      </c>
      <c r="G43" s="338"/>
      <c r="H43" s="270">
        <f t="shared" si="279"/>
        <v>0.51174672983329828</v>
      </c>
      <c r="I43" s="270">
        <f t="shared" si="279"/>
        <v>0.53191489361702127</v>
      </c>
      <c r="J43" s="270"/>
      <c r="K43" s="270">
        <f t="shared" si="279"/>
        <v>0.51083997288617755</v>
      </c>
      <c r="L43" s="270">
        <f t="shared" si="279"/>
        <v>0.53722334004024141</v>
      </c>
      <c r="M43" s="304"/>
      <c r="N43" s="304">
        <f t="shared" si="279"/>
        <v>0.66356027555975694</v>
      </c>
      <c r="O43" s="303">
        <f t="shared" si="279"/>
        <v>0.66826923076923073</v>
      </c>
      <c r="P43" s="335"/>
      <c r="Q43" s="270">
        <f t="shared" si="279"/>
        <v>0.49935084390292622</v>
      </c>
      <c r="R43" s="270">
        <f t="shared" si="279"/>
        <v>0.51326899879372734</v>
      </c>
      <c r="S43" s="270"/>
      <c r="T43" s="270">
        <f t="shared" si="279"/>
        <v>0.57561681718014091</v>
      </c>
      <c r="U43" s="270">
        <f t="shared" si="279"/>
        <v>0.56512820512820516</v>
      </c>
      <c r="V43" s="270"/>
      <c r="W43" s="270">
        <f t="shared" si="279"/>
        <v>0.52525779017139684</v>
      </c>
      <c r="X43" s="270">
        <f t="shared" si="279"/>
        <v>0.50232558139534889</v>
      </c>
      <c r="Y43" s="270"/>
      <c r="Z43" s="270">
        <f t="shared" si="279"/>
        <v>0.62266709818607735</v>
      </c>
      <c r="AA43" s="270">
        <f t="shared" si="279"/>
        <v>0.61904761904761907</v>
      </c>
      <c r="AB43" s="270"/>
      <c r="AC43" s="270">
        <f t="shared" si="279"/>
        <v>0.49608254248510264</v>
      </c>
      <c r="AD43" s="270">
        <f t="shared" si="279"/>
        <v>0.51301115241635686</v>
      </c>
      <c r="AE43" s="270"/>
      <c r="AF43" s="270">
        <f t="shared" si="279"/>
        <v>0.45401434080066128</v>
      </c>
      <c r="AG43" s="270">
        <f t="shared" si="279"/>
        <v>0.46126760563380281</v>
      </c>
      <c r="AH43" s="270"/>
      <c r="AI43" s="270">
        <f t="shared" ref="AI43:AJ43" si="280">AI18/AI$30</f>
        <v>0.61435863266981572</v>
      </c>
      <c r="AJ43" s="270">
        <f t="shared" si="280"/>
        <v>0.60933448573898008</v>
      </c>
      <c r="AK43" s="270"/>
      <c r="AL43" s="270">
        <f t="shared" ref="AL43:AM43" si="281">AL18/AL$30</f>
        <v>0.57457646063199574</v>
      </c>
      <c r="AM43" s="270">
        <f t="shared" si="281"/>
        <v>0.56470588235294117</v>
      </c>
      <c r="AN43" s="270"/>
      <c r="AO43" s="316">
        <f t="shared" ref="AO43:AP43" si="282">AO18/AO$30</f>
        <v>0.56375934912838988</v>
      </c>
      <c r="AP43" s="316">
        <f t="shared" si="282"/>
        <v>0.55926430517711168</v>
      </c>
      <c r="AQ43" s="313"/>
      <c r="AR43" s="316">
        <f t="shared" ref="AR43:AS43" si="283">AR18/AR$30</f>
        <v>0.60266702455449694</v>
      </c>
      <c r="AS43" s="316">
        <f t="shared" si="283"/>
        <v>0.58538163001293664</v>
      </c>
      <c r="AT43" s="313"/>
      <c r="AU43" s="316">
        <f t="shared" ref="AU43:AV43" si="284">AU18/AU$30</f>
        <v>0.62506610160070242</v>
      </c>
      <c r="AV43" s="316">
        <f t="shared" si="284"/>
        <v>0.65882792086599473</v>
      </c>
      <c r="AW43" s="313"/>
      <c r="AX43" s="316">
        <f t="shared" ref="AX43:AY43" si="285">AX18/AX$30</f>
        <v>0.57217728124332079</v>
      </c>
      <c r="AY43" s="316">
        <f t="shared" si="285"/>
        <v>0.56507413509060955</v>
      </c>
      <c r="AZ43" s="313"/>
      <c r="BA43" s="316">
        <f t="shared" ref="BA43:BB43" si="286">BA18/BA$30</f>
        <v>0.65174020765469687</v>
      </c>
      <c r="BB43" s="316">
        <f t="shared" si="286"/>
        <v>0.63726095003084515</v>
      </c>
      <c r="BC43" s="313"/>
      <c r="BD43" s="316">
        <f t="shared" si="264"/>
        <v>0.65110933668903292</v>
      </c>
      <c r="BE43" s="316">
        <f t="shared" si="264"/>
        <v>0.64293785310734464</v>
      </c>
      <c r="BF43" s="313"/>
      <c r="BG43" s="313">
        <f t="shared" si="195"/>
        <v>0.55816296846746372</v>
      </c>
      <c r="BH43" s="313">
        <f t="shared" si="188"/>
        <v>0.556858720957919</v>
      </c>
      <c r="BI43" s="313"/>
      <c r="BJ43" s="12"/>
      <c r="CE43" s="834" t="s">
        <v>149</v>
      </c>
      <c r="CF43" s="385">
        <f t="shared" si="207"/>
        <v>4.2035642238921644E-2</v>
      </c>
      <c r="CG43" s="385">
        <f t="shared" si="196"/>
        <v>3.6753754890824109E-2</v>
      </c>
      <c r="CH43" s="385">
        <f t="shared" si="196"/>
        <v>0.1382074952826633</v>
      </c>
      <c r="CI43" s="385">
        <f t="shared" si="196"/>
        <v>0.28366197183098585</v>
      </c>
      <c r="CJ43" s="385">
        <f t="shared" si="196"/>
        <v>7.8006265076997261E-2</v>
      </c>
      <c r="CK43" s="385">
        <f t="shared" si="196"/>
        <v>7.9846218288777138E-2</v>
      </c>
      <c r="CL43" s="385">
        <f t="shared" si="197"/>
        <v>9.6171853043741651E-2</v>
      </c>
      <c r="CM43" s="385">
        <f t="shared" si="197"/>
        <v>0.24690821694016174</v>
      </c>
      <c r="CN43" s="385">
        <f t="shared" si="196"/>
        <v>0.26339869890041334</v>
      </c>
      <c r="CO43" s="385">
        <f t="shared" si="196"/>
        <v>0.28838246872539575</v>
      </c>
      <c r="CP43" s="385">
        <f t="shared" si="196"/>
        <v>0.12961363584937091</v>
      </c>
      <c r="CQ43" s="385">
        <f t="shared" si="196"/>
        <v>0.13787234042553198</v>
      </c>
      <c r="CR43" s="385">
        <f t="shared" si="196"/>
        <v>9.8217658680072928E-2</v>
      </c>
      <c r="CS43" s="385">
        <f t="shared" si="196"/>
        <v>9.6802168021680179E-2</v>
      </c>
      <c r="CT43" s="385">
        <f t="shared" si="196"/>
        <v>0.11548294883162291</v>
      </c>
      <c r="CU43" s="385">
        <f t="shared" si="196"/>
        <v>9.9011873456052335E-2</v>
      </c>
      <c r="CV43" s="385">
        <f t="shared" si="196"/>
        <v>4.2035642238921644E-2</v>
      </c>
      <c r="CW43" s="385">
        <f t="shared" si="196"/>
        <v>3.6753754890824109E-2</v>
      </c>
      <c r="CX43" s="385">
        <f t="shared" si="196"/>
        <v>8.7195123530364071E-2</v>
      </c>
      <c r="CY43" s="385">
        <f t="shared" si="196"/>
        <v>9.1633188278594568E-2</v>
      </c>
      <c r="CZ43" s="385">
        <f t="shared" si="196"/>
        <v>4.4475250594836035E-2</v>
      </c>
      <c r="DA43" s="385">
        <f t="shared" si="196"/>
        <v>4.3846265037020382E-2</v>
      </c>
      <c r="DB43" s="385">
        <f t="shared" si="196"/>
        <v>6.5196224755324161E-2</v>
      </c>
      <c r="DC43" s="385">
        <f t="shared" si="196"/>
        <v>7.1097883597883493E-2</v>
      </c>
      <c r="DD43" s="385">
        <f t="shared" si="196"/>
        <v>5.3792859040129759E-2</v>
      </c>
      <c r="DE43" s="385">
        <f t="shared" si="196"/>
        <v>4.9680980715463452E-2</v>
      </c>
      <c r="DF43" s="385">
        <f t="shared" si="196"/>
        <v>5.9614402433854519E-2</v>
      </c>
      <c r="DG43" s="385">
        <f t="shared" si="196"/>
        <v>6.815648119995954E-2</v>
      </c>
      <c r="DH43" s="385">
        <f t="shared" si="196"/>
        <v>0.13722847428956975</v>
      </c>
      <c r="DI43" s="385">
        <f t="shared" si="196"/>
        <v>0.15375453413458962</v>
      </c>
      <c r="DJ43" s="385">
        <f t="shared" si="196"/>
        <v>6.1338450208062056E-2</v>
      </c>
      <c r="DK43" s="385">
        <f t="shared" si="196"/>
        <v>4.9662949847327553E-2</v>
      </c>
      <c r="DL43" s="385">
        <f t="shared" si="198"/>
        <v>6.8307957390530749E-2</v>
      </c>
      <c r="DM43" s="385">
        <f t="shared" si="198"/>
        <v>7.0833333333333304E-2</v>
      </c>
      <c r="DN43" s="385">
        <f t="shared" si="198"/>
        <v>6.9710345050437938E-2</v>
      </c>
      <c r="DO43" s="385">
        <f t="shared" si="198"/>
        <v>7.710762643771174E-2</v>
      </c>
      <c r="DP43" s="385">
        <f t="shared" ref="DP43:DQ43" si="287">DP18-DP19</f>
        <v>8.6931060482187572E-2</v>
      </c>
      <c r="DQ43" s="385">
        <f t="shared" si="287"/>
        <v>9.2822298042339879E-2</v>
      </c>
      <c r="DR43" s="385">
        <f t="shared" si="199"/>
        <v>2.3552893328527391E-2</v>
      </c>
      <c r="DS43" s="385">
        <f t="shared" si="199"/>
        <v>2.7028995445667281E-2</v>
      </c>
      <c r="DT43" s="385">
        <f t="shared" ref="DT43:DU43" si="288">DT18-DT19</f>
        <v>1.7628637576157846E-2</v>
      </c>
      <c r="DU43" s="385">
        <f t="shared" si="288"/>
        <v>1.7875548487793491E-2</v>
      </c>
      <c r="DV43" s="385">
        <f t="shared" ref="DV43:DW43" si="289">DV18-DV19</f>
        <v>2.9916409731671534E-2</v>
      </c>
      <c r="DW43" s="385">
        <f t="shared" si="289"/>
        <v>2.9804670011188028E-2</v>
      </c>
      <c r="DX43" s="166"/>
      <c r="DY43" s="166"/>
      <c r="DZ43" s="166"/>
      <c r="EA43" s="166"/>
      <c r="EB43" s="166"/>
      <c r="EC43" s="166"/>
      <c r="ED43" s="166"/>
      <c r="EE43" s="166"/>
      <c r="EF43" s="166"/>
      <c r="EG43" s="166"/>
      <c r="EH43" s="166"/>
      <c r="EI43" s="166"/>
      <c r="EJ43" s="166"/>
      <c r="EK43" s="166"/>
      <c r="EL43" s="166"/>
      <c r="FB43" s="166"/>
      <c r="FC43" s="166"/>
      <c r="FD43" s="166"/>
      <c r="FE43" s="166"/>
      <c r="FF43" s="166"/>
      <c r="FG43" s="166"/>
    </row>
    <row r="44" spans="1:163" ht="15.75" hidden="1" outlineLevel="1" thickBot="1" x14ac:dyDescent="0.3">
      <c r="A44" s="833">
        <v>10</v>
      </c>
      <c r="B44" s="269">
        <f t="shared" si="189"/>
        <v>0.50664848825086217</v>
      </c>
      <c r="C44" s="269">
        <f t="shared" si="189"/>
        <v>0.46397694524495675</v>
      </c>
      <c r="D44" s="339"/>
      <c r="E44" s="269">
        <f t="shared" ref="E44:AG44" si="290">E19/E$30</f>
        <v>0.47642954639984536</v>
      </c>
      <c r="F44" s="269">
        <f t="shared" si="290"/>
        <v>0.46296296296296297</v>
      </c>
      <c r="G44" s="339"/>
      <c r="H44" s="269">
        <f t="shared" si="290"/>
        <v>0.53882969262858349</v>
      </c>
      <c r="I44" s="269">
        <f t="shared" si="290"/>
        <v>0.56079027355623101</v>
      </c>
      <c r="J44" s="269"/>
      <c r="K44" s="269">
        <f t="shared" si="290"/>
        <v>0.54286539765087616</v>
      </c>
      <c r="L44" s="269">
        <f t="shared" si="290"/>
        <v>0.56740442655935619</v>
      </c>
      <c r="M44" s="350"/>
      <c r="N44" s="306">
        <f t="shared" si="290"/>
        <v>0.68260016647356292</v>
      </c>
      <c r="O44" s="302">
        <f t="shared" si="290"/>
        <v>0.68509615384615385</v>
      </c>
      <c r="P44" s="302"/>
      <c r="Q44" s="269">
        <f t="shared" si="290"/>
        <v>0.52208283078152251</v>
      </c>
      <c r="R44" s="269">
        <f t="shared" si="290"/>
        <v>0.5386007237635706</v>
      </c>
      <c r="S44" s="269"/>
      <c r="T44" s="269">
        <f t="shared" si="290"/>
        <v>0.59074018061616906</v>
      </c>
      <c r="U44" s="269">
        <f t="shared" si="290"/>
        <v>0.57948717948717954</v>
      </c>
      <c r="V44" s="269"/>
      <c r="W44" s="269">
        <f t="shared" si="290"/>
        <v>0.54388296717138807</v>
      </c>
      <c r="X44" s="269">
        <f t="shared" si="290"/>
        <v>0.52093023255813953</v>
      </c>
      <c r="Y44" s="269"/>
      <c r="Z44" s="269">
        <f t="shared" si="290"/>
        <v>0.64424615100097093</v>
      </c>
      <c r="AA44" s="269">
        <f t="shared" si="290"/>
        <v>0.63869047619047614</v>
      </c>
      <c r="AB44" s="269"/>
      <c r="AC44" s="269">
        <f t="shared" si="290"/>
        <v>0.51120061796512906</v>
      </c>
      <c r="AD44" s="269">
        <f t="shared" si="290"/>
        <v>0.53159851301115246</v>
      </c>
      <c r="AE44" s="269"/>
      <c r="AF44" s="269">
        <f t="shared" si="290"/>
        <v>0.48418058013233339</v>
      </c>
      <c r="AG44" s="269">
        <f t="shared" si="290"/>
        <v>0.49647887323943662</v>
      </c>
      <c r="AH44" s="269"/>
      <c r="AI44" s="269">
        <f t="shared" ref="AI44:AJ44" si="291">AI19/AI$30</f>
        <v>0.63841660023558244</v>
      </c>
      <c r="AJ44" s="269">
        <f t="shared" si="291"/>
        <v>0.62834917891097664</v>
      </c>
      <c r="AK44" s="269"/>
      <c r="AL44" s="269">
        <f t="shared" ref="AL44:AM44" si="292">AL19/AL$30</f>
        <v>0.59804876490970349</v>
      </c>
      <c r="AM44" s="269">
        <f t="shared" si="292"/>
        <v>0.58823529411764708</v>
      </c>
      <c r="AN44" s="269"/>
      <c r="AO44" s="316">
        <f t="shared" ref="AO44:AP44" si="293">AO19/AO$30</f>
        <v>0.58682134510432349</v>
      </c>
      <c r="AP44" s="316">
        <f t="shared" si="293"/>
        <v>0.58446866485013627</v>
      </c>
      <c r="AQ44" s="354"/>
      <c r="AR44" s="316">
        <f t="shared" ref="AR44:AS44" si="294">AR19/AR$30</f>
        <v>0.6359866739413802</v>
      </c>
      <c r="AS44" s="316">
        <f t="shared" si="294"/>
        <v>0.61901681759379046</v>
      </c>
      <c r="AT44" s="354"/>
      <c r="AU44" s="316">
        <f t="shared" ref="AU44:AV44" si="295">AU19/AU$30</f>
        <v>0.63440589832851346</v>
      </c>
      <c r="AV44" s="316">
        <f t="shared" si="295"/>
        <v>0.67077267637178051</v>
      </c>
      <c r="AW44" s="354"/>
      <c r="AX44" s="316">
        <f t="shared" ref="AX44:AY44" si="296">AX19/AX$30</f>
        <v>0.57800747263960106</v>
      </c>
      <c r="AY44" s="316">
        <f t="shared" si="296"/>
        <v>0.57084019769357497</v>
      </c>
      <c r="AZ44" s="354"/>
      <c r="BA44" s="316">
        <f t="shared" ref="BA44:BB44" si="297">BA19/BA$30</f>
        <v>0.66470035374925995</v>
      </c>
      <c r="BB44" s="316">
        <f t="shared" si="297"/>
        <v>0.64959901295496603</v>
      </c>
      <c r="BC44" s="354"/>
      <c r="BD44" s="316">
        <f t="shared" si="264"/>
        <v>0.67519546845506551</v>
      </c>
      <c r="BE44" s="316">
        <f t="shared" si="264"/>
        <v>0.66779661016949154</v>
      </c>
      <c r="BF44" s="354"/>
      <c r="BG44" s="313">
        <f t="shared" si="195"/>
        <v>0.58111652393359825</v>
      </c>
      <c r="BH44" s="313">
        <f t="shared" si="188"/>
        <v>0.57953652722221272</v>
      </c>
      <c r="BI44" s="313"/>
      <c r="BJ44" s="12"/>
      <c r="CE44" s="834" t="s">
        <v>150</v>
      </c>
      <c r="CF44" s="385">
        <f t="shared" si="207"/>
        <v>2.8268811130132354E-2</v>
      </c>
      <c r="CG44" s="385">
        <f t="shared" si="196"/>
        <v>2.8866663649665947E-2</v>
      </c>
      <c r="CH44" s="385">
        <f t="shared" si="196"/>
        <v>4.3842812694647737E-2</v>
      </c>
      <c r="CI44" s="385">
        <f t="shared" si="196"/>
        <v>3.6404494382022534E-2</v>
      </c>
      <c r="CJ44" s="385">
        <f t="shared" si="196"/>
        <v>6.222481063812535E-2</v>
      </c>
      <c r="CK44" s="385">
        <f t="shared" si="196"/>
        <v>6.1607478448239661E-2</v>
      </c>
      <c r="CL44" s="385">
        <f t="shared" si="197"/>
        <v>1.5574001564515383E-2</v>
      </c>
      <c r="CM44" s="385">
        <f t="shared" si="197"/>
        <v>7.5378307323565874E-3</v>
      </c>
      <c r="CN44" s="385">
        <f t="shared" si="196"/>
        <v>0.17722446648411583</v>
      </c>
      <c r="CO44" s="385">
        <f t="shared" si="196"/>
        <v>0.20584130085839925</v>
      </c>
      <c r="CP44" s="385">
        <f t="shared" si="196"/>
        <v>4.3842812694647737E-2</v>
      </c>
      <c r="CQ44" s="385">
        <f t="shared" si="196"/>
        <v>3.6404494382022534E-2</v>
      </c>
      <c r="CR44" s="385">
        <f t="shared" ref="CG44:DK53" si="298">CR19-CR20</f>
        <v>8.0395987209468167E-2</v>
      </c>
      <c r="CS44" s="385">
        <f t="shared" si="298"/>
        <v>7.8534619543086492E-2</v>
      </c>
      <c r="CT44" s="385">
        <f t="shared" si="298"/>
        <v>5.2422491206897348E-2</v>
      </c>
      <c r="CU44" s="385">
        <f t="shared" si="298"/>
        <v>5.4507567449002092E-2</v>
      </c>
      <c r="CV44" s="385">
        <f t="shared" si="298"/>
        <v>2.8268811130132354E-2</v>
      </c>
      <c r="CW44" s="385">
        <f t="shared" si="298"/>
        <v>2.8866663649665947E-2</v>
      </c>
      <c r="CX44" s="385">
        <f t="shared" si="298"/>
        <v>8.0263848057180898E-2</v>
      </c>
      <c r="CY44" s="385">
        <f t="shared" si="298"/>
        <v>8.3400901845009701E-2</v>
      </c>
      <c r="CZ44" s="385">
        <f t="shared" si="298"/>
        <v>3.5814413262104772E-2</v>
      </c>
      <c r="DA44" s="385">
        <f t="shared" si="298"/>
        <v>5.040598485539638E-2</v>
      </c>
      <c r="DB44" s="385">
        <f t="shared" si="298"/>
        <v>3.1717947786620293E-2</v>
      </c>
      <c r="DC44" s="385">
        <f t="shared" si="298"/>
        <v>5.0077639751552772E-2</v>
      </c>
      <c r="DD44" s="385">
        <f t="shared" si="298"/>
        <v>4.2576830821442035E-2</v>
      </c>
      <c r="DE44" s="385">
        <f t="shared" si="298"/>
        <v>4.3964504234369262E-2</v>
      </c>
      <c r="DF44" s="385">
        <f t="shared" si="298"/>
        <v>0.10130249303767558</v>
      </c>
      <c r="DG44" s="385">
        <f t="shared" si="298"/>
        <v>8.7785547785547813E-2</v>
      </c>
      <c r="DH44" s="385">
        <f t="shared" si="298"/>
        <v>0.10843009190799036</v>
      </c>
      <c r="DI44" s="385">
        <f t="shared" si="298"/>
        <v>0.10814412870674461</v>
      </c>
      <c r="DJ44" s="385">
        <f t="shared" si="298"/>
        <v>5.2069519056104019E-2</v>
      </c>
      <c r="DK44" s="385">
        <f t="shared" si="298"/>
        <v>5.4951217596372892E-2</v>
      </c>
      <c r="DL44" s="385">
        <f t="shared" si="198"/>
        <v>4.7201744578845295E-2</v>
      </c>
      <c r="DM44" s="385">
        <f t="shared" si="198"/>
        <v>3.9843749999999956E-2</v>
      </c>
      <c r="DN44" s="385">
        <f t="shared" si="198"/>
        <v>3.9193704436065291E-2</v>
      </c>
      <c r="DO44" s="385">
        <f t="shared" si="198"/>
        <v>3.7067455539519401E-2</v>
      </c>
      <c r="DP44" s="385">
        <f t="shared" ref="DP44:DQ44" si="299">DP19-DP20</f>
        <v>5.025518176179089E-2</v>
      </c>
      <c r="DQ44" s="385">
        <f t="shared" si="299"/>
        <v>5.2269848162599608E-2</v>
      </c>
      <c r="DR44" s="385">
        <f t="shared" si="199"/>
        <v>8.3457537772529289E-2</v>
      </c>
      <c r="DS44" s="385">
        <f t="shared" si="199"/>
        <v>2.6883603820575308E-2</v>
      </c>
      <c r="DT44" s="385">
        <f t="shared" ref="DT44:DU44" si="300">DT19-DT20</f>
        <v>5.0174749016488107E-2</v>
      </c>
      <c r="DU44" s="385">
        <f t="shared" si="300"/>
        <v>5.6273025546768496E-2</v>
      </c>
      <c r="DV44" s="385">
        <f t="shared" ref="DV44:DW44" si="301">DV19-DV20</f>
        <v>4.6616176476749871E-2</v>
      </c>
      <c r="DW44" s="385">
        <f t="shared" si="301"/>
        <v>3.8485280151946855E-2</v>
      </c>
      <c r="DX44" s="166"/>
      <c r="DY44" s="166"/>
      <c r="DZ44" s="166"/>
      <c r="EA44" s="166"/>
      <c r="EB44" s="166"/>
      <c r="EC44" s="166"/>
      <c r="ED44" s="166"/>
      <c r="EE44" s="166"/>
      <c r="EF44" s="166"/>
      <c r="EG44" s="166"/>
      <c r="EH44" s="166"/>
      <c r="EI44" s="166"/>
      <c r="EJ44" s="166"/>
      <c r="EK44" s="166"/>
      <c r="EL44" s="166"/>
      <c r="FB44" s="166"/>
      <c r="FC44" s="166"/>
      <c r="FD44" s="166"/>
      <c r="FE44" s="166"/>
      <c r="FF44" s="166"/>
      <c r="FG44" s="166"/>
    </row>
    <row r="45" spans="1:163" ht="15.75" hidden="1" outlineLevel="1" thickBot="1" x14ac:dyDescent="0.3">
      <c r="A45" s="833">
        <v>11</v>
      </c>
      <c r="B45" s="270">
        <f t="shared" si="189"/>
        <v>0.55662843852754829</v>
      </c>
      <c r="C45" s="270">
        <f t="shared" si="189"/>
        <v>0.51296829971181557</v>
      </c>
      <c r="D45" s="338"/>
      <c r="E45" s="270">
        <f t="shared" ref="E45:AG45" si="302">E20/E$30</f>
        <v>0.48659351731975792</v>
      </c>
      <c r="F45" s="270">
        <f t="shared" si="302"/>
        <v>0.47089947089947087</v>
      </c>
      <c r="G45" s="338"/>
      <c r="H45" s="270">
        <f t="shared" si="302"/>
        <v>0.56322861254385825</v>
      </c>
      <c r="I45" s="270">
        <f t="shared" si="302"/>
        <v>0.58662613981762923</v>
      </c>
      <c r="J45" s="270"/>
      <c r="K45" s="270">
        <f t="shared" si="302"/>
        <v>0.55876698780989209</v>
      </c>
      <c r="L45" s="270">
        <f t="shared" si="302"/>
        <v>0.5855130784708249</v>
      </c>
      <c r="M45" s="305"/>
      <c r="N45" s="305">
        <f t="shared" si="302"/>
        <v>0.69603098583301615</v>
      </c>
      <c r="O45" s="270">
        <f t="shared" si="302"/>
        <v>0.69891826923076927</v>
      </c>
      <c r="P45" s="270"/>
      <c r="Q45" s="270">
        <f t="shared" si="302"/>
        <v>0.54491724860245783</v>
      </c>
      <c r="R45" s="270">
        <f t="shared" si="302"/>
        <v>0.56393244873341375</v>
      </c>
      <c r="S45" s="270"/>
      <c r="T45" s="270">
        <f t="shared" si="302"/>
        <v>0.60350862031715857</v>
      </c>
      <c r="U45" s="270">
        <f t="shared" si="302"/>
        <v>0.59692307692307689</v>
      </c>
      <c r="V45" s="270"/>
      <c r="W45" s="270">
        <f t="shared" si="302"/>
        <v>0.55343010780711133</v>
      </c>
      <c r="X45" s="270">
        <f t="shared" si="302"/>
        <v>0.53488372093023251</v>
      </c>
      <c r="Y45" s="304"/>
      <c r="Z45" s="304">
        <f t="shared" si="302"/>
        <v>0.66241620047158911</v>
      </c>
      <c r="AA45" s="304">
        <f t="shared" si="302"/>
        <v>0.65714285714285714</v>
      </c>
      <c r="AB45" s="304"/>
      <c r="AC45" s="270">
        <f t="shared" si="302"/>
        <v>0.53911939969101741</v>
      </c>
      <c r="AD45" s="270">
        <f t="shared" si="302"/>
        <v>0.55762081784386619</v>
      </c>
      <c r="AE45" s="270"/>
      <c r="AF45" s="270">
        <f t="shared" si="302"/>
        <v>0.51100839021101918</v>
      </c>
      <c r="AG45" s="270">
        <f t="shared" si="302"/>
        <v>0.52464788732394363</v>
      </c>
      <c r="AH45" s="270"/>
      <c r="AI45" s="270">
        <f t="shared" ref="AI45:AJ45" si="303">AI20/AI$30</f>
        <v>0.66036860328149727</v>
      </c>
      <c r="AJ45" s="270">
        <f t="shared" si="303"/>
        <v>0.65082108902333624</v>
      </c>
      <c r="AK45" s="270"/>
      <c r="AL45" s="270">
        <f t="shared" ref="AL45:AM45" si="304">AL20/AL$30</f>
        <v>0.61542146358599326</v>
      </c>
      <c r="AM45" s="270">
        <f t="shared" si="304"/>
        <v>0.60235294117647054</v>
      </c>
      <c r="AN45" s="270"/>
      <c r="AO45" s="316">
        <f t="shared" ref="AO45:AP45" si="305">AO20/AO$30</f>
        <v>0.6006357894873704</v>
      </c>
      <c r="AP45" s="316">
        <f t="shared" si="305"/>
        <v>0.59741144414168934</v>
      </c>
      <c r="AQ45" s="313"/>
      <c r="AR45" s="316">
        <f t="shared" ref="AR45:AS45" si="306">AR20/AR$30</f>
        <v>0.65698498216116308</v>
      </c>
      <c r="AS45" s="316">
        <f t="shared" si="306"/>
        <v>0.63971539456662352</v>
      </c>
      <c r="AT45" s="313"/>
      <c r="AU45" s="316">
        <f t="shared" ref="AU45:AV45" si="307">AU20/AU$30</f>
        <v>0.66987296148229136</v>
      </c>
      <c r="AV45" s="316">
        <f t="shared" si="307"/>
        <v>0.68309070548712203</v>
      </c>
      <c r="AW45" s="313"/>
      <c r="AX45" s="316">
        <f t="shared" ref="AX45:AY45" si="308">AX20/AX$30</f>
        <v>0.59527115760661631</v>
      </c>
      <c r="AY45" s="316">
        <f t="shared" si="308"/>
        <v>0.5897858319604613</v>
      </c>
      <c r="AZ45" s="313"/>
      <c r="BA45" s="316">
        <f t="shared" ref="BA45:BB45" si="309">BA20/BA$30</f>
        <v>0.68595521737452647</v>
      </c>
      <c r="BB45" s="316">
        <f t="shared" si="309"/>
        <v>0.6662553979025293</v>
      </c>
      <c r="BC45" s="313"/>
      <c r="BD45" s="316">
        <f t="shared" si="264"/>
        <v>0.69076855440041274</v>
      </c>
      <c r="BE45" s="316">
        <f t="shared" si="264"/>
        <v>0.68305084745762712</v>
      </c>
      <c r="BF45" s="313"/>
      <c r="BG45" s="313">
        <f t="shared" si="195"/>
        <v>0.60210805189480443</v>
      </c>
      <c r="BH45" s="313">
        <f t="shared" si="188"/>
        <v>0.5995317526741073</v>
      </c>
      <c r="BI45" s="313"/>
      <c r="BJ45" s="12"/>
      <c r="BP45" s="167"/>
      <c r="CD45" s="167"/>
      <c r="CE45" s="834" t="s">
        <v>151</v>
      </c>
      <c r="CF45" s="385">
        <f t="shared" si="207"/>
        <v>2.8560030967313521E-2</v>
      </c>
      <c r="CG45" s="385">
        <f t="shared" si="298"/>
        <v>3.1287084893264261E-2</v>
      </c>
      <c r="CH45" s="385">
        <f t="shared" si="298"/>
        <v>7.3756061987989785E-2</v>
      </c>
      <c r="CI45" s="385">
        <f t="shared" si="298"/>
        <v>8.5859656561373843E-2</v>
      </c>
      <c r="CJ45" s="385">
        <f t="shared" si="298"/>
        <v>5.7958393375179496E-2</v>
      </c>
      <c r="CK45" s="385">
        <f t="shared" si="298"/>
        <v>5.9320044485944301E-2</v>
      </c>
      <c r="CL45" s="385">
        <f t="shared" si="197"/>
        <v>4.5196031020676264E-2</v>
      </c>
      <c r="CM45" s="385">
        <f t="shared" si="197"/>
        <v>5.4572571668109582E-2</v>
      </c>
      <c r="CN45" s="385">
        <f t="shared" si="298"/>
        <v>0.110892750416973</v>
      </c>
      <c r="CO45" s="385">
        <f t="shared" si="298"/>
        <v>0.15151074110729468</v>
      </c>
      <c r="CP45" s="385">
        <f t="shared" si="298"/>
        <v>7.3756061987989785E-2</v>
      </c>
      <c r="CQ45" s="385">
        <f t="shared" si="298"/>
        <v>8.5859656561373843E-2</v>
      </c>
      <c r="CR45" s="385">
        <f t="shared" si="298"/>
        <v>4.0298563164090195E-2</v>
      </c>
      <c r="CS45" s="385">
        <f t="shared" si="298"/>
        <v>3.8840427625106644E-2</v>
      </c>
      <c r="CT45" s="385">
        <f t="shared" si="298"/>
        <v>0.12985543232151375</v>
      </c>
      <c r="CU45" s="385">
        <f t="shared" si="298"/>
        <v>0.1098330405188892</v>
      </c>
      <c r="CV45" s="385">
        <f t="shared" si="298"/>
        <v>2.8560030967313521E-2</v>
      </c>
      <c r="CW45" s="385">
        <f t="shared" si="298"/>
        <v>3.1287084893264261E-2</v>
      </c>
      <c r="CX45" s="385">
        <f t="shared" si="298"/>
        <v>7.5022216888278148E-2</v>
      </c>
      <c r="CY45" s="385">
        <f t="shared" si="298"/>
        <v>7.4491540282282775E-2</v>
      </c>
      <c r="CZ45" s="385">
        <f t="shared" si="298"/>
        <v>3.9230388184030796E-2</v>
      </c>
      <c r="DA45" s="385">
        <f t="shared" si="298"/>
        <v>4.4822949350067365E-2</v>
      </c>
      <c r="DB45" s="385">
        <f t="shared" si="298"/>
        <v>6.5257074587595776E-2</v>
      </c>
      <c r="DC45" s="385">
        <f t="shared" si="298"/>
        <v>8.2861616283271156E-2</v>
      </c>
      <c r="DD45" s="385">
        <f t="shared" si="298"/>
        <v>3.9584406656193227E-2</v>
      </c>
      <c r="DE45" s="385">
        <f t="shared" si="298"/>
        <v>4.4166571068028126E-2</v>
      </c>
      <c r="DF45" s="385">
        <f t="shared" si="298"/>
        <v>9.4752367826708372E-2</v>
      </c>
      <c r="DG45" s="385">
        <f t="shared" si="298"/>
        <v>4.6580086580086499E-2</v>
      </c>
      <c r="DH45" s="385">
        <f t="shared" si="298"/>
        <v>9.8015070234309887E-2</v>
      </c>
      <c r="DI45" s="385">
        <f t="shared" si="298"/>
        <v>8.5527447943555268E-2</v>
      </c>
      <c r="DJ45" s="385">
        <f t="shared" si="298"/>
        <v>4.0133233646222344E-2</v>
      </c>
      <c r="DK45" s="385">
        <f t="shared" si="298"/>
        <v>4.3617358522897609E-2</v>
      </c>
      <c r="DL45" s="385">
        <f t="shared" si="198"/>
        <v>7.7104769680313323E-2</v>
      </c>
      <c r="DM45" s="385">
        <f t="shared" si="198"/>
        <v>8.6082175925925819E-2</v>
      </c>
      <c r="DN45" s="385">
        <f t="shared" si="198"/>
        <v>3.9683882329705877E-2</v>
      </c>
      <c r="DO45" s="385">
        <f t="shared" si="198"/>
        <v>4.4587478501652233E-2</v>
      </c>
      <c r="DP45" s="385">
        <f t="shared" ref="DP45:DQ45" si="310">DP20-DP21</f>
        <v>5.4206543891124559E-2</v>
      </c>
      <c r="DQ45" s="385">
        <f t="shared" si="310"/>
        <v>5.6372534526970108E-2</v>
      </c>
      <c r="DR45" s="385">
        <f t="shared" si="199"/>
        <v>2.9583098779085493E-2</v>
      </c>
      <c r="DS45" s="385">
        <f t="shared" si="199"/>
        <v>2.593120561759199E-2</v>
      </c>
      <c r="DT45" s="385">
        <f t="shared" ref="DT45:DU45" si="311">DT20-DT21</f>
        <v>3.9640337345327792E-2</v>
      </c>
      <c r="DU45" s="385">
        <f t="shared" si="311"/>
        <v>3.706078090179199E-2</v>
      </c>
      <c r="DV45" s="385">
        <f t="shared" ref="DV45:DW45" si="312">DV20-DV21</f>
        <v>2.6877905010719738E-2</v>
      </c>
      <c r="DW45" s="385">
        <f t="shared" si="312"/>
        <v>3.1297639434538782E-2</v>
      </c>
      <c r="DX45" s="167"/>
      <c r="DY45" s="167"/>
      <c r="DZ45" s="167"/>
      <c r="EA45" s="167"/>
      <c r="EB45" s="167"/>
      <c r="EC45" s="167"/>
      <c r="ED45" s="167"/>
      <c r="EE45" s="167"/>
      <c r="EF45" s="167"/>
      <c r="EG45" s="167"/>
      <c r="EH45" s="167"/>
      <c r="EI45" s="167"/>
      <c r="EJ45" s="167"/>
      <c r="EK45" s="167"/>
      <c r="EL45" s="167"/>
      <c r="FB45" s="167"/>
      <c r="FC45" s="167"/>
      <c r="FD45" s="167"/>
      <c r="FE45" s="167"/>
      <c r="FF45" s="167"/>
      <c r="FG45" s="167"/>
    </row>
    <row r="46" spans="1:163" ht="15.75" hidden="1" outlineLevel="1" thickBot="1" x14ac:dyDescent="0.3">
      <c r="A46" s="833">
        <v>12</v>
      </c>
      <c r="B46" s="269">
        <f t="shared" si="189"/>
        <v>0.59324725318790605</v>
      </c>
      <c r="C46" s="269">
        <f t="shared" si="189"/>
        <v>0.55619596541786742</v>
      </c>
      <c r="D46" s="339"/>
      <c r="E46" s="269">
        <f t="shared" ref="E46:AG46" si="313">E21/E$30</f>
        <v>0.50470706088423622</v>
      </c>
      <c r="F46" s="269">
        <f t="shared" si="313"/>
        <v>0.49074074074074076</v>
      </c>
      <c r="G46" s="339"/>
      <c r="H46" s="269">
        <f t="shared" si="313"/>
        <v>0.57630927935065568</v>
      </c>
      <c r="I46" s="269">
        <f t="shared" si="313"/>
        <v>0.60030395136778114</v>
      </c>
      <c r="J46" s="269"/>
      <c r="K46" s="269">
        <f t="shared" si="313"/>
        <v>0.60248247046926917</v>
      </c>
      <c r="L46" s="269">
        <f t="shared" si="313"/>
        <v>0.62575452716297786</v>
      </c>
      <c r="M46" s="269"/>
      <c r="N46" s="269">
        <f t="shared" si="313"/>
        <v>0.71014777665772955</v>
      </c>
      <c r="O46" s="269">
        <f t="shared" si="313"/>
        <v>0.71454326923076927</v>
      </c>
      <c r="P46" s="269"/>
      <c r="Q46" s="269">
        <f t="shared" si="313"/>
        <v>0.56814346477784006</v>
      </c>
      <c r="R46" s="269">
        <f t="shared" si="313"/>
        <v>0.58866103739445119</v>
      </c>
      <c r="S46" s="269"/>
      <c r="T46" s="269">
        <f t="shared" si="313"/>
        <v>0.61814371516225208</v>
      </c>
      <c r="U46" s="269">
        <f t="shared" si="313"/>
        <v>0.61333333333333329</v>
      </c>
      <c r="V46" s="269"/>
      <c r="W46" s="269">
        <f t="shared" si="313"/>
        <v>0.57416625402865007</v>
      </c>
      <c r="X46" s="269">
        <f t="shared" si="313"/>
        <v>0.55968992248062011</v>
      </c>
      <c r="Y46" s="350"/>
      <c r="Z46" s="306">
        <f t="shared" si="313"/>
        <v>0.68025336353969212</v>
      </c>
      <c r="AA46" s="306">
        <f t="shared" si="313"/>
        <v>0.67678571428571432</v>
      </c>
      <c r="AB46" s="350"/>
      <c r="AC46" s="269">
        <f t="shared" si="313"/>
        <v>0.56814169057603181</v>
      </c>
      <c r="AD46" s="269">
        <f t="shared" si="313"/>
        <v>0.57249070631970256</v>
      </c>
      <c r="AE46" s="269"/>
      <c r="AF46" s="269">
        <f t="shared" si="313"/>
        <v>0.53795256380934042</v>
      </c>
      <c r="AG46" s="269">
        <f t="shared" si="313"/>
        <v>0.54929577464788737</v>
      </c>
      <c r="AH46" s="269"/>
      <c r="AI46" s="306">
        <f t="shared" ref="AI46:AJ46" si="314">AI21/AI$30</f>
        <v>0.67834663938034667</v>
      </c>
      <c r="AJ46" s="306">
        <f t="shared" si="314"/>
        <v>0.6698357821953328</v>
      </c>
      <c r="AK46" s="269"/>
      <c r="AL46" s="306">
        <f t="shared" ref="AL46:AM46" si="315">AL21/AL$30</f>
        <v>0.646079167132387</v>
      </c>
      <c r="AM46" s="306">
        <f t="shared" si="315"/>
        <v>0.63529411764705879</v>
      </c>
      <c r="AN46" s="269"/>
      <c r="AO46" s="316">
        <f t="shared" ref="AO46:AP46" si="316">AO21/AO$30</f>
        <v>0.61530185373591328</v>
      </c>
      <c r="AP46" s="316">
        <f t="shared" si="316"/>
        <v>0.61376021798365121</v>
      </c>
      <c r="AQ46" s="354"/>
      <c r="AR46" s="316">
        <f t="shared" ref="AR46:AS46" si="317">AR21/AR$30</f>
        <v>0.68124612215085911</v>
      </c>
      <c r="AS46" s="316">
        <f t="shared" si="317"/>
        <v>0.6636481241914618</v>
      </c>
      <c r="AT46" s="354"/>
      <c r="AU46" s="316">
        <f t="shared" ref="AU46:AV46" si="318">AU21/AU$30</f>
        <v>0.68341616354765111</v>
      </c>
      <c r="AV46" s="316">
        <f t="shared" si="318"/>
        <v>0.69540873460246355</v>
      </c>
      <c r="AW46" s="354"/>
      <c r="AX46" s="316">
        <f t="shared" ref="AX46:AY46" si="319">AX21/AX$30</f>
        <v>0.60965708307655131</v>
      </c>
      <c r="AY46" s="316">
        <f t="shared" si="319"/>
        <v>0.60296540362438222</v>
      </c>
      <c r="AZ46" s="354"/>
      <c r="BA46" s="316">
        <f t="shared" ref="BA46:BB46" si="320">BA21/BA$30</f>
        <v>0.69883975328228021</v>
      </c>
      <c r="BB46" s="316">
        <f t="shared" si="320"/>
        <v>0.68044417026526838</v>
      </c>
      <c r="BC46" s="354"/>
      <c r="BD46" s="316">
        <f t="shared" si="264"/>
        <v>0.71247621833623254</v>
      </c>
      <c r="BE46" s="316">
        <f t="shared" si="264"/>
        <v>0.70338983050847459</v>
      </c>
      <c r="BF46" s="354"/>
      <c r="BG46" s="313">
        <f t="shared" si="195"/>
        <v>0.62265937148799144</v>
      </c>
      <c r="BH46" s="313">
        <f t="shared" si="188"/>
        <v>0.62028510003728243</v>
      </c>
      <c r="BI46" s="313"/>
      <c r="BJ46" s="12"/>
      <c r="CE46" s="834" t="s">
        <v>152</v>
      </c>
      <c r="CF46" s="385">
        <f t="shared" si="207"/>
        <v>2.1689592819365666E-2</v>
      </c>
      <c r="CG46" s="385">
        <f t="shared" si="298"/>
        <v>1.8582511193548035E-2</v>
      </c>
      <c r="CH46" s="385">
        <f t="shared" si="298"/>
        <v>6.4693787558945504E-2</v>
      </c>
      <c r="CI46" s="385">
        <f t="shared" si="298"/>
        <v>7.9186626258676229E-2</v>
      </c>
      <c r="CJ46" s="385">
        <f t="shared" si="298"/>
        <v>4.2763052355762055E-2</v>
      </c>
      <c r="CK46" s="385">
        <f t="shared" si="298"/>
        <v>4.4046722880377143E-2</v>
      </c>
      <c r="CL46" s="385">
        <f t="shared" si="197"/>
        <v>4.3004194739579837E-2</v>
      </c>
      <c r="CM46" s="385">
        <f t="shared" si="197"/>
        <v>6.0604115065128195E-2</v>
      </c>
      <c r="CN46" s="385">
        <f t="shared" si="298"/>
        <v>3.2099722755958959E-2</v>
      </c>
      <c r="CO46" s="385">
        <f t="shared" si="298"/>
        <v>3.6506141342941945E-2</v>
      </c>
      <c r="CP46" s="385">
        <f t="shared" si="298"/>
        <v>6.4693787558945504E-2</v>
      </c>
      <c r="CQ46" s="385">
        <f t="shared" si="298"/>
        <v>7.9186626258676229E-2</v>
      </c>
      <c r="CR46" s="385">
        <f t="shared" si="298"/>
        <v>6.5421457022977636E-2</v>
      </c>
      <c r="CS46" s="385">
        <f t="shared" si="298"/>
        <v>6.094473602963868E-2</v>
      </c>
      <c r="CT46" s="385">
        <f t="shared" si="298"/>
        <v>4.081938800478091E-2</v>
      </c>
      <c r="CU46" s="385">
        <f t="shared" si="298"/>
        <v>4.0077009142315712E-2</v>
      </c>
      <c r="CV46" s="385">
        <f t="shared" si="298"/>
        <v>2.1689592819365666E-2</v>
      </c>
      <c r="CW46" s="385">
        <f t="shared" si="298"/>
        <v>1.8582511193548035E-2</v>
      </c>
      <c r="CX46" s="385">
        <f t="shared" si="298"/>
        <v>6.0052203194217668E-2</v>
      </c>
      <c r="CY46" s="385">
        <f t="shared" si="298"/>
        <v>5.8810056590617998E-2</v>
      </c>
      <c r="CZ46" s="385">
        <f t="shared" si="298"/>
        <v>7.2242444880196155E-2</v>
      </c>
      <c r="DA46" s="385">
        <f t="shared" si="298"/>
        <v>6.7934782608695565E-2</v>
      </c>
      <c r="DB46" s="385">
        <f t="shared" si="298"/>
        <v>5.5957018463153263E-2</v>
      </c>
      <c r="DC46" s="385">
        <f t="shared" si="298"/>
        <v>6.6703601108033306E-2</v>
      </c>
      <c r="DD46" s="385">
        <f t="shared" si="298"/>
        <v>2.6387623518857373E-2</v>
      </c>
      <c r="DE46" s="385">
        <f t="shared" si="298"/>
        <v>2.804710639005048E-2</v>
      </c>
      <c r="DF46" s="385">
        <f t="shared" si="298"/>
        <v>1.8185723784465369E-2</v>
      </c>
      <c r="DG46" s="385">
        <f t="shared" si="298"/>
        <v>1.1269375785504687E-2</v>
      </c>
      <c r="DH46" s="385">
        <f t="shared" si="298"/>
        <v>7.7873733814298518E-2</v>
      </c>
      <c r="DI46" s="385">
        <f t="shared" si="298"/>
        <v>8.8805503439649769E-2</v>
      </c>
      <c r="DJ46" s="385">
        <f t="shared" si="298"/>
        <v>2.1404334226303057E-2</v>
      </c>
      <c r="DK46" s="385">
        <f t="shared" si="298"/>
        <v>2.6490044564372983E-2</v>
      </c>
      <c r="DL46" s="385">
        <f t="shared" si="198"/>
        <v>5.926609634337221E-2</v>
      </c>
      <c r="DM46" s="385">
        <f t="shared" si="198"/>
        <v>6.6981875492513998E-2</v>
      </c>
      <c r="DN46" s="385">
        <f t="shared" si="198"/>
        <v>5.0865790840836311E-2</v>
      </c>
      <c r="DO46" s="385">
        <f t="shared" si="198"/>
        <v>4.9107020186875294E-2</v>
      </c>
      <c r="DP46" s="385">
        <f t="shared" ref="DP46:DQ46" si="321">DP21-DP22</f>
        <v>5.450884792513655E-2</v>
      </c>
      <c r="DQ46" s="385">
        <f t="shared" si="321"/>
        <v>5.925706901460881E-2</v>
      </c>
      <c r="DR46" s="385">
        <f t="shared" si="199"/>
        <v>2.7783080957300532E-2</v>
      </c>
      <c r="DS46" s="385">
        <f t="shared" si="199"/>
        <v>2.4282903989224947E-2</v>
      </c>
      <c r="DT46" s="385">
        <f t="shared" ref="DT46:DU46" si="322">DT21-DT22</f>
        <v>4.4459322923371625E-2</v>
      </c>
      <c r="DU46" s="385">
        <f t="shared" si="322"/>
        <v>4.6252149870463555E-2</v>
      </c>
      <c r="DV46" s="385">
        <f t="shared" ref="DV46:DW46" si="323">DV21-DV22</f>
        <v>2.763849881632563E-2</v>
      </c>
      <c r="DW46" s="385">
        <f t="shared" si="323"/>
        <v>3.1296432010464503E-2</v>
      </c>
      <c r="DX46" s="166"/>
      <c r="DY46" s="166"/>
      <c r="DZ46" s="166"/>
      <c r="EA46" s="166"/>
      <c r="EB46" s="166"/>
      <c r="EC46" s="166"/>
      <c r="ED46" s="166"/>
      <c r="EE46" s="166"/>
      <c r="EF46" s="166"/>
      <c r="EG46" s="166"/>
      <c r="EH46" s="166"/>
      <c r="EI46" s="166"/>
      <c r="EJ46" s="166"/>
      <c r="EK46" s="166"/>
      <c r="EL46" s="166"/>
      <c r="FB46" s="166"/>
      <c r="FC46" s="166"/>
      <c r="FD46" s="166"/>
      <c r="FE46" s="166"/>
      <c r="FF46" s="166"/>
      <c r="FG46" s="166"/>
    </row>
    <row r="47" spans="1:163" ht="15.75" hidden="1" outlineLevel="1" thickBot="1" x14ac:dyDescent="0.3">
      <c r="A47" s="833">
        <v>13</v>
      </c>
      <c r="B47" s="270">
        <f t="shared" si="189"/>
        <v>0.60476381425936321</v>
      </c>
      <c r="C47" s="270">
        <f t="shared" si="189"/>
        <v>0.56772334293948123</v>
      </c>
      <c r="D47" s="338"/>
      <c r="E47" s="270">
        <f t="shared" ref="E47:AG47" si="324">E22/E$30</f>
        <v>0.5217426962935191</v>
      </c>
      <c r="F47" s="270">
        <f t="shared" si="324"/>
        <v>0.51058201058201058</v>
      </c>
      <c r="G47" s="338"/>
      <c r="H47" s="270">
        <f t="shared" si="324"/>
        <v>0.598889194302068</v>
      </c>
      <c r="I47" s="270">
        <f t="shared" si="324"/>
        <v>0.62310030395136773</v>
      </c>
      <c r="J47" s="270"/>
      <c r="K47" s="270">
        <f t="shared" si="324"/>
        <v>0.61767287839895102</v>
      </c>
      <c r="L47" s="270">
        <f t="shared" si="324"/>
        <v>0.64185110663983902</v>
      </c>
      <c r="M47" s="270"/>
      <c r="N47" s="270">
        <f t="shared" si="324"/>
        <v>0.72125716819267438</v>
      </c>
      <c r="O47" s="270">
        <f t="shared" si="324"/>
        <v>0.72415865384615385</v>
      </c>
      <c r="P47" s="270"/>
      <c r="Q47" s="270">
        <f t="shared" si="324"/>
        <v>0.58821224715562082</v>
      </c>
      <c r="R47" s="270">
        <f t="shared" si="324"/>
        <v>0.60977080820265384</v>
      </c>
      <c r="S47" s="304"/>
      <c r="T47" s="304">
        <f t="shared" si="324"/>
        <v>0.64703798124702938</v>
      </c>
      <c r="U47" s="304">
        <f t="shared" si="324"/>
        <v>0.64</v>
      </c>
      <c r="V47" s="304"/>
      <c r="W47" s="270">
        <f t="shared" si="324"/>
        <v>0.59322578683554417</v>
      </c>
      <c r="X47" s="270">
        <f t="shared" si="324"/>
        <v>0.58139534883720934</v>
      </c>
      <c r="Y47" s="305"/>
      <c r="Z47" s="305">
        <f t="shared" si="324"/>
        <v>0.69268728712993355</v>
      </c>
      <c r="AA47" s="305">
        <f t="shared" si="324"/>
        <v>0.68988095238095237</v>
      </c>
      <c r="AB47" s="305"/>
      <c r="AC47" s="270">
        <f t="shared" si="324"/>
        <v>0.5740730523063341</v>
      </c>
      <c r="AD47" s="270">
        <f t="shared" si="324"/>
        <v>0.57620817843866168</v>
      </c>
      <c r="AE47" s="270"/>
      <c r="AF47" s="270">
        <f t="shared" si="324"/>
        <v>0.56147404491631858</v>
      </c>
      <c r="AG47" s="270">
        <f t="shared" si="324"/>
        <v>0.57746478873239437</v>
      </c>
      <c r="AH47" s="270"/>
      <c r="AI47" s="270">
        <f t="shared" ref="AI47:AJ47" si="325">AI22/AI$30</f>
        <v>0.68834104727116974</v>
      </c>
      <c r="AJ47" s="270">
        <f t="shared" si="325"/>
        <v>0.68193604148660325</v>
      </c>
      <c r="AK47" s="270"/>
      <c r="AL47" s="270">
        <f t="shared" ref="AL47:AM47" si="326">AL22/AL$30</f>
        <v>0.67180289651428293</v>
      </c>
      <c r="AM47" s="270">
        <f t="shared" si="326"/>
        <v>0.66352941176470592</v>
      </c>
      <c r="AN47" s="270"/>
      <c r="AO47" s="316">
        <f t="shared" ref="AO47:AP47" si="327">AO22/AO$30</f>
        <v>0.63518165181749331</v>
      </c>
      <c r="AP47" s="316">
        <f t="shared" si="327"/>
        <v>0.6328337874659401</v>
      </c>
      <c r="AQ47" s="313"/>
      <c r="AR47" s="316">
        <f t="shared" ref="AR47:AS47" si="328">AR22/AR$30</f>
        <v>0.70751909466074636</v>
      </c>
      <c r="AS47" s="316">
        <f t="shared" si="328"/>
        <v>0.69081500646830529</v>
      </c>
      <c r="AT47" s="313"/>
      <c r="AU47" s="316">
        <f t="shared" ref="AU47:AV47" si="329">AU22/AU$30</f>
        <v>0.69664361920026474</v>
      </c>
      <c r="AV47" s="316">
        <f t="shared" si="329"/>
        <v>0.70735349010824933</v>
      </c>
      <c r="AW47" s="313"/>
      <c r="AX47" s="316">
        <f t="shared" ref="AX47:AY47" si="330">AX22/AX$30</f>
        <v>0.62664218254335013</v>
      </c>
      <c r="AY47" s="316">
        <f t="shared" si="330"/>
        <v>0.62026359143327847</v>
      </c>
      <c r="AZ47" s="313"/>
      <c r="BA47" s="316">
        <f t="shared" ref="BA47:BB47" si="331">BA22/BA$30</f>
        <v>0.71260360765885267</v>
      </c>
      <c r="BB47" s="316">
        <f t="shared" si="331"/>
        <v>0.69524984577421345</v>
      </c>
      <c r="BC47" s="313"/>
      <c r="BD47" s="316">
        <f t="shared" si="264"/>
        <v>0.72602353700413624</v>
      </c>
      <c r="BE47" s="316">
        <f t="shared" si="264"/>
        <v>0.71581920903954799</v>
      </c>
      <c r="BF47" s="313"/>
      <c r="BG47" s="313">
        <f t="shared" si="195"/>
        <v>0.63915583182955704</v>
      </c>
      <c r="BH47" s="313">
        <f t="shared" si="188"/>
        <v>0.63707015428468239</v>
      </c>
      <c r="BI47" s="313"/>
      <c r="BJ47" s="12"/>
      <c r="CE47" s="834" t="s">
        <v>153</v>
      </c>
      <c r="CF47" s="385">
        <f t="shared" si="207"/>
        <v>3.6825961212072933E-2</v>
      </c>
      <c r="CG47" s="385">
        <f t="shared" si="298"/>
        <v>3.0263512421188743E-2</v>
      </c>
      <c r="CH47" s="385">
        <f t="shared" si="298"/>
        <v>8.330770372755647E-2</v>
      </c>
      <c r="CI47" s="385">
        <f t="shared" si="298"/>
        <v>8.2618701706116182E-2</v>
      </c>
      <c r="CJ47" s="385">
        <f t="shared" si="298"/>
        <v>5.4412340448575458E-2</v>
      </c>
      <c r="CK47" s="385">
        <f t="shared" si="298"/>
        <v>5.6117184628501571E-2</v>
      </c>
      <c r="CL47" s="385">
        <f t="shared" si="197"/>
        <v>4.6481742515483537E-2</v>
      </c>
      <c r="CM47" s="385">
        <f t="shared" si="197"/>
        <v>5.2355189284927439E-2</v>
      </c>
      <c r="CN47" s="385">
        <f t="shared" si="298"/>
        <v>3.5910105552609428E-2</v>
      </c>
      <c r="CO47" s="385">
        <f t="shared" si="298"/>
        <v>6.8738392967686135E-2</v>
      </c>
      <c r="CP47" s="385">
        <f t="shared" si="298"/>
        <v>8.330770372755647E-2</v>
      </c>
      <c r="CQ47" s="385">
        <f t="shared" si="298"/>
        <v>8.2618701706116182E-2</v>
      </c>
      <c r="CR47" s="385">
        <f t="shared" si="298"/>
        <v>2.9493278224387964E-2</v>
      </c>
      <c r="CS47" s="385">
        <f t="shared" si="298"/>
        <v>2.6940398900392015E-2</v>
      </c>
      <c r="CT47" s="385">
        <f t="shared" si="298"/>
        <v>5.8207801466041653E-2</v>
      </c>
      <c r="CU47" s="385">
        <f t="shared" si="298"/>
        <v>5.1933124346917436E-2</v>
      </c>
      <c r="CV47" s="385">
        <f t="shared" si="298"/>
        <v>3.2913397121072441E-2</v>
      </c>
      <c r="CW47" s="385">
        <f t="shared" si="298"/>
        <v>3.0263512421188743E-2</v>
      </c>
      <c r="CX47" s="385">
        <f t="shared" si="298"/>
        <v>7.8299183467734457E-2</v>
      </c>
      <c r="CY47" s="385">
        <f t="shared" si="298"/>
        <v>7.580949181643426E-2</v>
      </c>
      <c r="CZ47" s="385">
        <f t="shared" si="298"/>
        <v>6.1788466377582729E-2</v>
      </c>
      <c r="DA47" s="385">
        <f t="shared" si="298"/>
        <v>6.25E-2</v>
      </c>
      <c r="DB47" s="385">
        <f t="shared" si="298"/>
        <v>7.9052422747385664E-2</v>
      </c>
      <c r="DC47" s="385">
        <f t="shared" si="298"/>
        <v>8.708860759493664E-2</v>
      </c>
      <c r="DD47" s="385">
        <f t="shared" si="298"/>
        <v>4.9079270902901984E-2</v>
      </c>
      <c r="DE47" s="385">
        <f t="shared" si="298"/>
        <v>5.7644757036356076E-2</v>
      </c>
      <c r="DF47" s="385">
        <f t="shared" si="298"/>
        <v>5.0162237771510521E-2</v>
      </c>
      <c r="DG47" s="385">
        <f t="shared" si="298"/>
        <v>4.3659971596672786E-2</v>
      </c>
      <c r="DH47" s="385">
        <f t="shared" si="298"/>
        <v>0.10668496193040578</v>
      </c>
      <c r="DI47" s="385">
        <f t="shared" si="298"/>
        <v>9.9523409027193699E-2</v>
      </c>
      <c r="DJ47" s="385">
        <f t="shared" si="298"/>
        <v>2.9786372713391573E-2</v>
      </c>
      <c r="DK47" s="385">
        <f t="shared" si="298"/>
        <v>3.0929310274336652E-2</v>
      </c>
      <c r="DL47" s="385">
        <f t="shared" si="198"/>
        <v>5.2495057808959356E-2</v>
      </c>
      <c r="DM47" s="385">
        <f t="shared" si="198"/>
        <v>6.1513967289043237E-2</v>
      </c>
      <c r="DN47" s="385">
        <f t="shared" si="198"/>
        <v>6.6461629905194108E-2</v>
      </c>
      <c r="DO47" s="385">
        <f t="shared" si="198"/>
        <v>6.0525019667622582E-2</v>
      </c>
      <c r="DP47" s="385">
        <f t="shared" ref="DP47:DQ47" si="332">DP22-DP23</f>
        <v>6.3747354277310597E-2</v>
      </c>
      <c r="DQ47" s="385">
        <f t="shared" si="332"/>
        <v>6.1018457869367326E-2</v>
      </c>
      <c r="DR47" s="385">
        <f t="shared" si="199"/>
        <v>2.748362347184119E-2</v>
      </c>
      <c r="DS47" s="385">
        <f t="shared" si="199"/>
        <v>2.419749504592783E-2</v>
      </c>
      <c r="DT47" s="385">
        <f t="shared" ref="DT47:DU47" si="333">DT22-DT23</f>
        <v>8.2178494897088283E-2</v>
      </c>
      <c r="DU47" s="385">
        <f t="shared" si="333"/>
        <v>8.7092167344024141E-2</v>
      </c>
      <c r="DV47" s="385">
        <f t="shared" ref="DV47:DW47" si="334">DV22-DV23</f>
        <v>4.2726104553599153E-2</v>
      </c>
      <c r="DW47" s="385">
        <f t="shared" si="334"/>
        <v>4.6915545468047215E-2</v>
      </c>
      <c r="DX47" s="166"/>
      <c r="DY47" s="166"/>
      <c r="DZ47" s="166"/>
      <c r="EA47" s="166"/>
      <c r="EB47" s="166"/>
      <c r="EC47" s="166"/>
      <c r="ED47" s="166"/>
      <c r="EE47" s="166"/>
      <c r="EF47" s="166"/>
      <c r="EG47" s="166"/>
      <c r="EH47" s="166"/>
      <c r="EI47" s="166"/>
      <c r="EJ47" s="166"/>
      <c r="EK47" s="166"/>
      <c r="EL47" s="166"/>
      <c r="FB47" s="166"/>
      <c r="FC47" s="166"/>
      <c r="FD47" s="166"/>
      <c r="FE47" s="166"/>
      <c r="FF47" s="166"/>
      <c r="FG47" s="166"/>
    </row>
    <row r="48" spans="1:163" ht="15.75" hidden="1" outlineLevel="1" thickBot="1" x14ac:dyDescent="0.3">
      <c r="A48" s="833">
        <v>14</v>
      </c>
      <c r="B48" s="269">
        <f t="shared" si="189"/>
        <v>0.61818910899029589</v>
      </c>
      <c r="C48" s="269">
        <f t="shared" si="189"/>
        <v>0.59077809798270897</v>
      </c>
      <c r="D48" s="339"/>
      <c r="E48" s="269">
        <f t="shared" ref="E48:AG48" si="335">E23/E$30</f>
        <v>0.54545081751132096</v>
      </c>
      <c r="F48" s="269">
        <f t="shared" si="335"/>
        <v>0.53306878306878303</v>
      </c>
      <c r="G48" s="339"/>
      <c r="H48" s="269">
        <f t="shared" si="335"/>
        <v>0.60965770368813366</v>
      </c>
      <c r="I48" s="269">
        <f t="shared" si="335"/>
        <v>0.63373860182370823</v>
      </c>
      <c r="J48" s="269"/>
      <c r="K48" s="269">
        <f t="shared" si="335"/>
        <v>0.64070851529597406</v>
      </c>
      <c r="L48" s="301">
        <f t="shared" si="335"/>
        <v>0.66398390342052316</v>
      </c>
      <c r="M48" s="301"/>
      <c r="N48" s="269">
        <f t="shared" si="335"/>
        <v>0.73879545083801457</v>
      </c>
      <c r="O48" s="269">
        <f t="shared" si="335"/>
        <v>0.74038461538461542</v>
      </c>
      <c r="P48" s="269"/>
      <c r="Q48" s="269">
        <f t="shared" si="335"/>
        <v>0.61661122591912565</v>
      </c>
      <c r="R48" s="269">
        <f t="shared" si="335"/>
        <v>0.63932448733413749</v>
      </c>
      <c r="S48" s="350"/>
      <c r="T48" s="306">
        <f t="shared" si="335"/>
        <v>0.67398349392904977</v>
      </c>
      <c r="U48" s="306">
        <f t="shared" si="335"/>
        <v>0.66666666666666663</v>
      </c>
      <c r="V48" s="350"/>
      <c r="W48" s="269">
        <f t="shared" si="335"/>
        <v>0.62241449705941121</v>
      </c>
      <c r="X48" s="269">
        <f t="shared" si="335"/>
        <v>0.61240310077519378</v>
      </c>
      <c r="Y48" s="269"/>
      <c r="Z48" s="269">
        <f t="shared" si="335"/>
        <v>0.71706505155115818</v>
      </c>
      <c r="AA48" s="269">
        <f t="shared" si="335"/>
        <v>0.71845238095238095</v>
      </c>
      <c r="AB48" s="269"/>
      <c r="AC48" s="269">
        <f t="shared" si="335"/>
        <v>0.59109468108585306</v>
      </c>
      <c r="AD48" s="269">
        <f t="shared" si="335"/>
        <v>0.59107806691449816</v>
      </c>
      <c r="AE48" s="269"/>
      <c r="AF48" s="269">
        <f t="shared" si="335"/>
        <v>0.59724980840144615</v>
      </c>
      <c r="AG48" s="269">
        <f t="shared" si="335"/>
        <v>0.61267605633802813</v>
      </c>
      <c r="AH48" s="301"/>
      <c r="AI48" s="269">
        <f t="shared" ref="AI48:AJ48" si="336">AI23/AI$30</f>
        <v>0.70274965198043948</v>
      </c>
      <c r="AJ48" s="269">
        <f t="shared" si="336"/>
        <v>0.6966292134831461</v>
      </c>
      <c r="AK48" s="301"/>
      <c r="AL48" s="269">
        <f t="shared" ref="AL48:AM48" si="337">AL23/AL$30</f>
        <v>0.69636099445925881</v>
      </c>
      <c r="AM48" s="269">
        <f t="shared" si="337"/>
        <v>0.69176470588235295</v>
      </c>
      <c r="AN48" s="301"/>
      <c r="AO48" s="316">
        <f t="shared" ref="AO48:AP48" si="338">AO23/AO$30</f>
        <v>0.66317784228130106</v>
      </c>
      <c r="AP48" s="316">
        <f t="shared" si="338"/>
        <v>0.65803814713896458</v>
      </c>
      <c r="AQ48" s="354"/>
      <c r="AR48" s="316">
        <f t="shared" ref="AR48:AS48" si="339">AR23/AR$30</f>
        <v>0.740937192440146</v>
      </c>
      <c r="AS48" s="316">
        <f t="shared" si="339"/>
        <v>0.7212160413971539</v>
      </c>
      <c r="AT48" s="354"/>
      <c r="AU48" s="316">
        <f t="shared" ref="AU48:AV48" si="340">AU23/AU$30</f>
        <v>0.71024212148480592</v>
      </c>
      <c r="AV48" s="316">
        <f t="shared" si="340"/>
        <v>0.71967151922359085</v>
      </c>
      <c r="AW48" s="354"/>
      <c r="AX48" s="316">
        <f t="shared" ref="AX48:AY48" si="341">AX23/AX$30</f>
        <v>0.66066407775533842</v>
      </c>
      <c r="AY48" s="316">
        <f t="shared" si="341"/>
        <v>0.6556836902800659</v>
      </c>
      <c r="AZ48" s="354"/>
      <c r="BA48" s="316">
        <f t="shared" ref="BA48:BB48" si="342">BA23/BA$30</f>
        <v>0.73498142257710097</v>
      </c>
      <c r="BB48" s="316">
        <f t="shared" si="342"/>
        <v>0.71869216533004321</v>
      </c>
      <c r="BC48" s="354"/>
      <c r="BD48" s="316">
        <f t="shared" si="264"/>
        <v>0.75332919176467728</v>
      </c>
      <c r="BE48" s="316">
        <f t="shared" si="264"/>
        <v>0.74237288135593216</v>
      </c>
      <c r="BF48" s="354"/>
      <c r="BG48" s="313">
        <f t="shared" si="195"/>
        <v>0.66167017839921682</v>
      </c>
      <c r="BH48" s="313">
        <f t="shared" si="188"/>
        <v>0.65998809257351132</v>
      </c>
      <c r="BI48" s="313"/>
      <c r="BJ48" s="12"/>
      <c r="CE48" s="834" t="s">
        <v>154</v>
      </c>
      <c r="CF48" s="385">
        <f t="shared" si="207"/>
        <v>7.9799864471708837E-2</v>
      </c>
      <c r="CG48" s="385">
        <f t="shared" si="298"/>
        <v>8.3322617976083313E-2</v>
      </c>
      <c r="CH48" s="385">
        <f t="shared" si="298"/>
        <v>8.1955635063029497E-2</v>
      </c>
      <c r="CI48" s="385">
        <f t="shared" si="298"/>
        <v>8.4461326779015078E-2</v>
      </c>
      <c r="CJ48" s="385">
        <f t="shared" si="298"/>
        <v>6.5681824182238335E-2</v>
      </c>
      <c r="CK48" s="385">
        <f t="shared" si="298"/>
        <v>6.2925390597915909E-2</v>
      </c>
      <c r="CL48" s="385">
        <f t="shared" si="197"/>
        <v>2.1557705913206604E-3</v>
      </c>
      <c r="CM48" s="385">
        <f t="shared" si="197"/>
        <v>1.1387088029317649E-3</v>
      </c>
      <c r="CN48" s="385">
        <f t="shared" si="298"/>
        <v>7.4473108187948389E-2</v>
      </c>
      <c r="CO48" s="385">
        <f t="shared" si="298"/>
        <v>7.1187599726464601E-2</v>
      </c>
      <c r="CP48" s="385">
        <f t="shared" si="298"/>
        <v>8.1955635063029497E-2</v>
      </c>
      <c r="CQ48" s="385">
        <f t="shared" si="298"/>
        <v>8.4461326779015078E-2</v>
      </c>
      <c r="CR48" s="385">
        <f t="shared" si="298"/>
        <v>3.4182829749769716E-2</v>
      </c>
      <c r="CS48" s="385">
        <f t="shared" si="298"/>
        <v>3.6954043322718899E-2</v>
      </c>
      <c r="CT48" s="385">
        <f t="shared" si="298"/>
        <v>3.9471804445878167E-2</v>
      </c>
      <c r="CU48" s="385">
        <f t="shared" si="298"/>
        <v>3.1283157989389521E-2</v>
      </c>
      <c r="CV48" s="385">
        <f t="shared" si="298"/>
        <v>8.3712428562709329E-2</v>
      </c>
      <c r="CW48" s="385">
        <f t="shared" si="298"/>
        <v>8.3322617976083313E-2</v>
      </c>
      <c r="CX48" s="385">
        <f t="shared" si="298"/>
        <v>5.3466220042947876E-2</v>
      </c>
      <c r="CY48" s="385">
        <f t="shared" si="298"/>
        <v>5.1377220768489273E-2</v>
      </c>
      <c r="CZ48" s="385">
        <f t="shared" si="298"/>
        <v>8.2400708905515874E-2</v>
      </c>
      <c r="DA48" s="385">
        <f t="shared" si="298"/>
        <v>8.6956521739130377E-2</v>
      </c>
      <c r="DB48" s="385">
        <f t="shared" si="298"/>
        <v>7.5705179244016652E-2</v>
      </c>
      <c r="DC48" s="385">
        <f t="shared" si="298"/>
        <v>7.8694524935183807E-2</v>
      </c>
      <c r="DD48" s="385">
        <f t="shared" si="298"/>
        <v>5.7904461027205256E-2</v>
      </c>
      <c r="DE48" s="385">
        <f t="shared" si="298"/>
        <v>5.5365182813856384E-2</v>
      </c>
      <c r="DF48" s="385">
        <f t="shared" si="298"/>
        <v>8.2399265289034185E-2</v>
      </c>
      <c r="DG48" s="385">
        <f t="shared" si="298"/>
        <v>5.1579996932044958E-2</v>
      </c>
      <c r="DH48" s="385">
        <f t="shared" si="298"/>
        <v>0.11491943397634485</v>
      </c>
      <c r="DI48" s="385">
        <f t="shared" si="298"/>
        <v>6.959793830732508E-2</v>
      </c>
      <c r="DJ48" s="385">
        <f t="shared" si="298"/>
        <v>3.0599225366205962E-2</v>
      </c>
      <c r="DK48" s="385">
        <f t="shared" si="298"/>
        <v>3.3059628543499642E-2</v>
      </c>
      <c r="DL48" s="385">
        <f t="shared" si="198"/>
        <v>7.312846433211484E-2</v>
      </c>
      <c r="DM48" s="385">
        <f t="shared" si="198"/>
        <v>6.5708101422387033E-2</v>
      </c>
      <c r="DN48" s="385">
        <f t="shared" si="198"/>
        <v>7.5319778434517204E-2</v>
      </c>
      <c r="DO48" s="385">
        <f t="shared" si="198"/>
        <v>7.0507828866556821E-2</v>
      </c>
      <c r="DP48" s="385">
        <f t="shared" ref="DP48:DQ48" si="343">DP23-DP24</f>
        <v>5.7147590981917018E-2</v>
      </c>
      <c r="DQ48" s="385">
        <f t="shared" si="343"/>
        <v>6.517956383427248E-2</v>
      </c>
      <c r="DR48" s="385">
        <f t="shared" si="199"/>
        <v>4.7935724171182414E-2</v>
      </c>
      <c r="DS48" s="385">
        <f t="shared" si="199"/>
        <v>3.2379964433906228E-2</v>
      </c>
      <c r="DT48" s="385">
        <f t="shared" ref="DT48:DU48" si="344">DT23-DT24</f>
        <v>0.15161626763333502</v>
      </c>
      <c r="DU48" s="385">
        <f t="shared" si="344"/>
        <v>0.14870839458061291</v>
      </c>
      <c r="DV48" s="385">
        <f t="shared" ref="DV48:DW48" si="345">DV23-DV24</f>
        <v>2.2618959810600803E-2</v>
      </c>
      <c r="DW48" s="385">
        <f t="shared" si="345"/>
        <v>2.578867632542825E-2</v>
      </c>
      <c r="DX48" s="166"/>
      <c r="DY48" s="166"/>
      <c r="DZ48" s="166"/>
      <c r="EA48" s="166"/>
      <c r="EB48" s="166"/>
      <c r="EC48" s="166"/>
      <c r="ED48" s="166"/>
      <c r="EE48" s="166"/>
      <c r="EF48" s="166"/>
      <c r="EG48" s="166"/>
      <c r="EH48" s="166"/>
      <c r="EI48" s="166"/>
      <c r="EJ48" s="166"/>
      <c r="EK48" s="166"/>
      <c r="EL48" s="166"/>
      <c r="FB48" s="166"/>
      <c r="FC48" s="166"/>
      <c r="FD48" s="166"/>
      <c r="FE48" s="166"/>
      <c r="FF48" s="166"/>
      <c r="FG48" s="166"/>
    </row>
    <row r="49" spans="1:163" ht="15.75" hidden="1" outlineLevel="1" thickBot="1" x14ac:dyDescent="0.3">
      <c r="A49" s="833">
        <v>15</v>
      </c>
      <c r="B49" s="304">
        <f t="shared" si="189"/>
        <v>0.64802309728125751</v>
      </c>
      <c r="C49" s="270">
        <f t="shared" si="189"/>
        <v>0.61671469740634011</v>
      </c>
      <c r="D49" s="338"/>
      <c r="E49" s="270">
        <f t="shared" ref="E49:AG49" si="346">E24/E$30</f>
        <v>0.57097497964276722</v>
      </c>
      <c r="F49" s="270">
        <f t="shared" si="346"/>
        <v>0.55820105820105825</v>
      </c>
      <c r="G49" s="338"/>
      <c r="H49" s="270">
        <f t="shared" si="346"/>
        <v>0.62263327243035227</v>
      </c>
      <c r="I49" s="304">
        <f t="shared" si="346"/>
        <v>0.64893617021276595</v>
      </c>
      <c r="J49" s="304"/>
      <c r="K49" s="304">
        <f t="shared" si="346"/>
        <v>0.65733239990665737</v>
      </c>
      <c r="L49" s="303">
        <f t="shared" si="346"/>
        <v>0.67806841046277666</v>
      </c>
      <c r="M49" s="335"/>
      <c r="N49" s="270">
        <f t="shared" si="346"/>
        <v>0.78749942487148494</v>
      </c>
      <c r="O49" s="270">
        <f t="shared" si="346"/>
        <v>0.7890625</v>
      </c>
      <c r="P49" s="270"/>
      <c r="Q49" s="270">
        <f t="shared" si="346"/>
        <v>0.63763261606065957</v>
      </c>
      <c r="R49" s="304">
        <f t="shared" si="346"/>
        <v>0.66103739445114595</v>
      </c>
      <c r="S49" s="335"/>
      <c r="T49" s="305">
        <f t="shared" si="346"/>
        <v>0.71361534805340709</v>
      </c>
      <c r="U49" s="305">
        <f t="shared" si="346"/>
        <v>0.70769230769230773</v>
      </c>
      <c r="V49" s="335"/>
      <c r="W49" s="304">
        <f t="shared" si="346"/>
        <v>0.65319294953654239</v>
      </c>
      <c r="X49" s="304">
        <f t="shared" si="346"/>
        <v>0.64341085271317833</v>
      </c>
      <c r="Y49" s="304"/>
      <c r="Z49" s="270">
        <f t="shared" si="346"/>
        <v>0.74812828455622848</v>
      </c>
      <c r="AA49" s="270">
        <f t="shared" si="346"/>
        <v>0.74821428571428572</v>
      </c>
      <c r="AB49" s="270"/>
      <c r="AC49" s="270">
        <f t="shared" si="346"/>
        <v>0.62135841977488415</v>
      </c>
      <c r="AD49" s="270">
        <f t="shared" si="346"/>
        <v>0.60966542750929364</v>
      </c>
      <c r="AE49" s="304"/>
      <c r="AF49" s="304">
        <f t="shared" si="346"/>
        <v>0.64126330656972386</v>
      </c>
      <c r="AG49" s="304">
        <f t="shared" si="346"/>
        <v>0.63996478873239437</v>
      </c>
      <c r="AH49" s="335"/>
      <c r="AI49" s="269">
        <f t="shared" ref="AI49:AJ49" si="347">AI24/AI$30</f>
        <v>0.71819339179268737</v>
      </c>
      <c r="AJ49" s="269">
        <f t="shared" si="347"/>
        <v>0.71305099394987037</v>
      </c>
      <c r="AK49" s="335"/>
      <c r="AL49" s="269">
        <f t="shared" ref="AL49:AM49" si="348">AL24/AL$30</f>
        <v>0.73372507065642611</v>
      </c>
      <c r="AM49" s="269">
        <f t="shared" si="348"/>
        <v>0.7247058823529412</v>
      </c>
      <c r="AN49" s="335"/>
      <c r="AO49" s="316">
        <f t="shared" ref="AO49:AP49" si="349">AO24/AO$30</f>
        <v>0.69804549990411147</v>
      </c>
      <c r="AP49" s="316">
        <f t="shared" si="349"/>
        <v>0.69005449591280654</v>
      </c>
      <c r="AQ49" s="313"/>
      <c r="AR49" s="316">
        <f t="shared" ref="AR49:AS49" si="350">AR24/AR$30</f>
        <v>0.77369770057069076</v>
      </c>
      <c r="AS49" s="316">
        <f t="shared" si="350"/>
        <v>0.75679172056921085</v>
      </c>
      <c r="AT49" s="313"/>
      <c r="AU49" s="316">
        <f t="shared" ref="AU49:AV49" si="351">AU24/AU$30</f>
        <v>0.73527528199365644</v>
      </c>
      <c r="AV49" s="316">
        <f t="shared" si="351"/>
        <v>0.73684210526315785</v>
      </c>
      <c r="AW49" s="313"/>
      <c r="AX49" s="316">
        <f t="shared" ref="AX49:AY49" si="352">AX24/AX$30</f>
        <v>0.73420777779698843</v>
      </c>
      <c r="AY49" s="316">
        <f t="shared" si="352"/>
        <v>0.72652388797364087</v>
      </c>
      <c r="AZ49" s="313"/>
      <c r="BA49" s="316">
        <f t="shared" ref="BA49:BB49" si="353">BA24/BA$30</f>
        <v>0.74740669660942083</v>
      </c>
      <c r="BB49" s="316">
        <f t="shared" si="353"/>
        <v>0.73226403454657618</v>
      </c>
      <c r="BC49" s="313"/>
      <c r="BD49" s="316">
        <f t="shared" si="264"/>
        <v>0.7846441775951587</v>
      </c>
      <c r="BE49" s="316">
        <f t="shared" si="264"/>
        <v>0.77740112994350286</v>
      </c>
      <c r="BF49" s="313"/>
      <c r="BG49" s="314">
        <f t="shared" si="195"/>
        <v>0.69170107129886238</v>
      </c>
      <c r="BH49" s="314">
        <f t="shared" si="188"/>
        <v>0.68853314641115093</v>
      </c>
      <c r="BI49" s="381" t="s">
        <v>273</v>
      </c>
      <c r="BJ49" s="12" t="s">
        <v>154</v>
      </c>
      <c r="CE49" s="834" t="s">
        <v>155</v>
      </c>
      <c r="CF49" s="385">
        <f t="shared" si="207"/>
        <v>3.2793393525950121E-2</v>
      </c>
      <c r="CG49" s="385">
        <f t="shared" si="298"/>
        <v>3.4734140080674658E-2</v>
      </c>
      <c r="CH49" s="385">
        <f t="shared" si="298"/>
        <v>0.10133996353020325</v>
      </c>
      <c r="CI49" s="385">
        <f t="shared" si="298"/>
        <v>9.2592789818414234E-2</v>
      </c>
      <c r="CJ49" s="385">
        <f t="shared" si="298"/>
        <v>5.8389989418047739E-2</v>
      </c>
      <c r="CK49" s="385">
        <f t="shared" si="298"/>
        <v>5.918930512460463E-2</v>
      </c>
      <c r="CL49" s="385">
        <f t="shared" si="197"/>
        <v>6.8546570004253127E-2</v>
      </c>
      <c r="CM49" s="385">
        <f t="shared" si="197"/>
        <v>5.7858649737739576E-2</v>
      </c>
      <c r="CN49" s="385">
        <f t="shared" si="298"/>
        <v>6.8475968981483559E-2</v>
      </c>
      <c r="CO49" s="385">
        <f t="shared" si="298"/>
        <v>7.2388184245660847E-2</v>
      </c>
      <c r="CP49" s="385">
        <f t="shared" si="298"/>
        <v>0.10133996353020325</v>
      </c>
      <c r="CQ49" s="385">
        <f t="shared" si="298"/>
        <v>9.2592789818414234E-2</v>
      </c>
      <c r="CR49" s="385">
        <f t="shared" si="298"/>
        <v>6.0853305606782149E-2</v>
      </c>
      <c r="CS49" s="385">
        <f t="shared" si="298"/>
        <v>5.900162457539504E-2</v>
      </c>
      <c r="CT49" s="385">
        <f t="shared" si="298"/>
        <v>6.6124240802790002E-2</v>
      </c>
      <c r="CU49" s="385">
        <f t="shared" si="298"/>
        <v>5.0708680162907083E-2</v>
      </c>
      <c r="CV49" s="385">
        <f t="shared" si="298"/>
        <v>3.2793393525950121E-2</v>
      </c>
      <c r="CW49" s="385">
        <f t="shared" si="298"/>
        <v>3.4734140080674658E-2</v>
      </c>
      <c r="CX49" s="385">
        <f t="shared" si="298"/>
        <v>5.2746183978343408E-2</v>
      </c>
      <c r="CY49" s="385">
        <f t="shared" si="298"/>
        <v>5.0692593879941628E-2</v>
      </c>
      <c r="CZ49" s="385">
        <f t="shared" si="298"/>
        <v>7.1876557425115228E-2</v>
      </c>
      <c r="DA49" s="385">
        <f t="shared" si="298"/>
        <v>7.5594918590087712E-2</v>
      </c>
      <c r="DB49" s="385">
        <f t="shared" si="298"/>
        <v>6.76651569008071E-2</v>
      </c>
      <c r="DC49" s="385">
        <f t="shared" si="298"/>
        <v>8.1614127743852238E-2</v>
      </c>
      <c r="DD49" s="385">
        <f t="shared" si="298"/>
        <v>4.5030851726686638E-2</v>
      </c>
      <c r="DE49" s="385">
        <f t="shared" si="298"/>
        <v>4.5201139567690785E-2</v>
      </c>
      <c r="DF49" s="385">
        <f t="shared" si="298"/>
        <v>6.7105881784528032E-2</v>
      </c>
      <c r="DG49" s="385">
        <f t="shared" si="298"/>
        <v>7.6290414066931378E-2</v>
      </c>
      <c r="DH49" s="385">
        <f t="shared" si="298"/>
        <v>6.7887379793269531E-2</v>
      </c>
      <c r="DI49" s="385">
        <f t="shared" si="298"/>
        <v>6.3905230952372216E-2</v>
      </c>
      <c r="DJ49" s="385">
        <f t="shared" si="298"/>
        <v>2.2646640475562752E-2</v>
      </c>
      <c r="DK49" s="385">
        <f t="shared" si="298"/>
        <v>1.845295055821361E-2</v>
      </c>
      <c r="DL49" s="385">
        <f t="shared" si="198"/>
        <v>5.7608079859719385E-2</v>
      </c>
      <c r="DM49" s="385">
        <f t="shared" si="198"/>
        <v>4.7581728616211461E-2</v>
      </c>
      <c r="DN49" s="385">
        <f t="shared" si="198"/>
        <v>5.2595774096360959E-2</v>
      </c>
      <c r="DO49" s="385">
        <f t="shared" si="198"/>
        <v>4.9732881501396875E-2</v>
      </c>
      <c r="DP49" s="385">
        <f t="shared" ref="DP49:DQ49" si="354">DP24-DP25</f>
        <v>3.902219963506437E-2</v>
      </c>
      <c r="DQ49" s="385">
        <f t="shared" si="354"/>
        <v>4.9985942420152973E-2</v>
      </c>
      <c r="DR49" s="385">
        <f t="shared" si="199"/>
        <v>4.8858403125506378E-2</v>
      </c>
      <c r="DS49" s="385">
        <f t="shared" si="199"/>
        <v>4.3263504519021945E-2</v>
      </c>
      <c r="DT49" s="385">
        <f t="shared" ref="DT49:DU49" si="355">DT24-DT25</f>
        <v>8.7487064914650192E-2</v>
      </c>
      <c r="DU49" s="385">
        <f t="shared" si="355"/>
        <v>8.6300336641918385E-2</v>
      </c>
      <c r="DV49" s="385">
        <f t="shared" ref="DV49:DW49" si="356">DV24-DV25</f>
        <v>4.961824417892613E-2</v>
      </c>
      <c r="DW49" s="385">
        <f t="shared" si="356"/>
        <v>6.0474653621424679E-2</v>
      </c>
    </row>
    <row r="50" spans="1:163" ht="15.75" hidden="1" outlineLevel="1" thickBot="1" x14ac:dyDescent="0.3">
      <c r="A50" s="833">
        <v>16</v>
      </c>
      <c r="B50" s="306">
        <f t="shared" si="189"/>
        <v>0.67811372203063602</v>
      </c>
      <c r="C50" s="301">
        <f t="shared" si="189"/>
        <v>0.64553314121037464</v>
      </c>
      <c r="D50" s="340"/>
      <c r="E50" s="269">
        <f t="shared" ref="E50:AG50" si="357">E25/E$30</f>
        <v>0.60604214386558952</v>
      </c>
      <c r="F50" s="269">
        <f t="shared" si="357"/>
        <v>0.58862433862433861</v>
      </c>
      <c r="G50" s="340"/>
      <c r="H50" s="301">
        <f t="shared" si="357"/>
        <v>0.647153459343218</v>
      </c>
      <c r="I50" s="306">
        <f t="shared" si="357"/>
        <v>0.67477203647416417</v>
      </c>
      <c r="J50" s="306"/>
      <c r="K50" s="306">
        <f t="shared" si="357"/>
        <v>0.68720205353868724</v>
      </c>
      <c r="L50" s="302">
        <f t="shared" si="357"/>
        <v>0.70221327967806846</v>
      </c>
      <c r="M50" s="302"/>
      <c r="N50" s="269">
        <f t="shared" si="357"/>
        <v>0.8083755442807129</v>
      </c>
      <c r="O50" s="269">
        <f t="shared" si="357"/>
        <v>0.81129807692307687</v>
      </c>
      <c r="P50" s="301"/>
      <c r="Q50" s="301">
        <f t="shared" si="357"/>
        <v>0.65982427971841739</v>
      </c>
      <c r="R50" s="306">
        <f t="shared" si="357"/>
        <v>0.68395657418576594</v>
      </c>
      <c r="S50" s="350"/>
      <c r="T50" s="269">
        <f t="shared" si="357"/>
        <v>0.75219720865920581</v>
      </c>
      <c r="U50" s="269">
        <f t="shared" si="357"/>
        <v>0.74769230769230766</v>
      </c>
      <c r="V50" s="350"/>
      <c r="W50" s="306">
        <f t="shared" si="357"/>
        <v>0.68339805234856188</v>
      </c>
      <c r="X50" s="306">
        <f t="shared" si="357"/>
        <v>0.67906976744186043</v>
      </c>
      <c r="Y50" s="350"/>
      <c r="Z50" s="269">
        <f t="shared" si="357"/>
        <v>0.77421055064959088</v>
      </c>
      <c r="AA50" s="269">
        <f t="shared" si="357"/>
        <v>0.77440476190476193</v>
      </c>
      <c r="AB50" s="269"/>
      <c r="AC50" s="269">
        <f t="shared" si="357"/>
        <v>0.64839439417347167</v>
      </c>
      <c r="AD50" s="269">
        <f t="shared" si="357"/>
        <v>0.63940520446096649</v>
      </c>
      <c r="AE50" s="350"/>
      <c r="AF50" s="306">
        <f t="shared" si="357"/>
        <v>0.67045048732239521</v>
      </c>
      <c r="AG50" s="306">
        <f t="shared" si="357"/>
        <v>0.66725352112676062</v>
      </c>
      <c r="AH50" s="350"/>
      <c r="AI50" s="269">
        <f t="shared" ref="AI50:AJ50" si="358">AI25/AI$30</f>
        <v>0.73006770021535572</v>
      </c>
      <c r="AJ50" s="269">
        <f t="shared" si="358"/>
        <v>0.72255834053586865</v>
      </c>
      <c r="AK50" s="350"/>
      <c r="AL50" s="269">
        <f t="shared" ref="AL50:AM50" si="359">AL25/AL$30</f>
        <v>0.7661072700273045</v>
      </c>
      <c r="AM50" s="269">
        <f t="shared" si="359"/>
        <v>0.75058823529411767</v>
      </c>
      <c r="AN50" s="350"/>
      <c r="AO50" s="316">
        <f t="shared" ref="AO50:AP50" si="360">AO25/AO$30</f>
        <v>0.72465049455710895</v>
      </c>
      <c r="AP50" s="316">
        <f t="shared" si="360"/>
        <v>0.71457765667574935</v>
      </c>
      <c r="AQ50" s="354"/>
      <c r="AR50" s="316">
        <f t="shared" ref="AR50:AS50" si="361">AR25/AR$30</f>
        <v>0.79778390241591834</v>
      </c>
      <c r="AS50" s="316">
        <f t="shared" si="361"/>
        <v>0.78654592496765852</v>
      </c>
      <c r="AT50" s="354"/>
      <c r="AU50" s="316">
        <f t="shared" ref="AU50:AV50" si="362">AU25/AU$30</f>
        <v>0.76267386478104582</v>
      </c>
      <c r="AV50" s="316">
        <f t="shared" si="362"/>
        <v>0.76110488988428515</v>
      </c>
      <c r="AW50" s="354"/>
      <c r="AX50" s="316">
        <f t="shared" ref="AX50:AY50" si="363">AX25/AX$30</f>
        <v>0.78460590519695228</v>
      </c>
      <c r="AY50" s="316">
        <f t="shared" si="363"/>
        <v>0.77512355848434922</v>
      </c>
      <c r="AZ50" s="354"/>
      <c r="BA50" s="316">
        <f t="shared" ref="BA50:BB50" si="364">BA25/BA$30</f>
        <v>0.77619177476543066</v>
      </c>
      <c r="BB50" s="316">
        <f t="shared" si="364"/>
        <v>0.76619370758790872</v>
      </c>
      <c r="BC50" s="354"/>
      <c r="BD50" s="316">
        <f t="shared" si="264"/>
        <v>0.8024329465002098</v>
      </c>
      <c r="BE50" s="316">
        <f t="shared" si="264"/>
        <v>0.79661016949152541</v>
      </c>
      <c r="BF50" s="354"/>
      <c r="BG50" s="313">
        <f t="shared" si="195"/>
        <v>0.72005531565874403</v>
      </c>
      <c r="BH50" s="313">
        <f t="shared" si="188"/>
        <v>0.71706709792071899</v>
      </c>
      <c r="BI50" s="313"/>
      <c r="BJ50" s="12"/>
      <c r="BP50" s="167"/>
      <c r="CD50" s="167"/>
      <c r="CE50" s="834" t="s">
        <v>156</v>
      </c>
      <c r="CF50" s="385">
        <f t="shared" si="207"/>
        <v>3.1178763711135593E-2</v>
      </c>
      <c r="CG50" s="385">
        <f t="shared" si="298"/>
        <v>3.0280453864268919E-2</v>
      </c>
      <c r="CH50" s="385">
        <f t="shared" si="298"/>
        <v>9.180585834668431E-2</v>
      </c>
      <c r="CI50" s="385">
        <f t="shared" si="298"/>
        <v>9.3780863093108069E-2</v>
      </c>
      <c r="CJ50" s="385">
        <f t="shared" si="298"/>
        <v>5.5234886268717753E-2</v>
      </c>
      <c r="CK50" s="385">
        <f t="shared" si="298"/>
        <v>5.4606805992289509E-2</v>
      </c>
      <c r="CL50" s="385">
        <f t="shared" si="197"/>
        <v>6.0627094635548717E-2</v>
      </c>
      <c r="CM50" s="385">
        <f t="shared" si="197"/>
        <v>6.350040922883915E-2</v>
      </c>
      <c r="CN50" s="385">
        <f t="shared" si="298"/>
        <v>5.9001889866498791E-2</v>
      </c>
      <c r="CO50" s="385">
        <f t="shared" si="298"/>
        <v>5.9836756591048479E-2</v>
      </c>
      <c r="CP50" s="385">
        <f t="shared" si="298"/>
        <v>9.180585834668431E-2</v>
      </c>
      <c r="CQ50" s="385">
        <f t="shared" si="298"/>
        <v>9.3780863093108069E-2</v>
      </c>
      <c r="CR50" s="385">
        <f t="shared" si="298"/>
        <v>0.12072403886010341</v>
      </c>
      <c r="CS50" s="385">
        <f t="shared" si="298"/>
        <v>0.13085261853229002</v>
      </c>
      <c r="CT50" s="385">
        <f t="shared" si="298"/>
        <v>5.4712338431057272E-2</v>
      </c>
      <c r="CU50" s="385">
        <f t="shared" si="298"/>
        <v>5.4922762398667668E-2</v>
      </c>
      <c r="CV50" s="385">
        <f t="shared" si="298"/>
        <v>3.1178763711135593E-2</v>
      </c>
      <c r="CW50" s="385">
        <f t="shared" si="298"/>
        <v>3.0280453864268919E-2</v>
      </c>
      <c r="CX50" s="385">
        <f t="shared" si="298"/>
        <v>6.328386566454447E-2</v>
      </c>
      <c r="CY50" s="385">
        <f t="shared" si="298"/>
        <v>3.2770783920209379E-2</v>
      </c>
      <c r="CZ50" s="385">
        <f t="shared" si="298"/>
        <v>5.1201162750803997E-2</v>
      </c>
      <c r="DA50" s="385">
        <f t="shared" si="298"/>
        <v>4.9469695734190022E-2</v>
      </c>
      <c r="DB50" s="385">
        <f t="shared" si="298"/>
        <v>9.1903637305235097E-2</v>
      </c>
      <c r="DC50" s="385">
        <f t="shared" si="298"/>
        <v>0.10317598813367068</v>
      </c>
      <c r="DD50" s="385">
        <f t="shared" si="298"/>
        <v>3.5365357960522648E-2</v>
      </c>
      <c r="DE50" s="385">
        <f t="shared" si="298"/>
        <v>3.8517952977145331E-2</v>
      </c>
      <c r="DF50" s="385">
        <f t="shared" si="298"/>
        <v>2.8468735441396387E-2</v>
      </c>
      <c r="DG50" s="385">
        <f t="shared" si="298"/>
        <v>2.6810631229235771E-2</v>
      </c>
      <c r="DH50" s="385">
        <f t="shared" si="298"/>
        <v>6.1444016278088709E-2</v>
      </c>
      <c r="DI50" s="385">
        <f t="shared" si="298"/>
        <v>6.0706055241976031E-2</v>
      </c>
      <c r="DJ50" s="385">
        <f t="shared" si="298"/>
        <v>5.2116406697739093E-2</v>
      </c>
      <c r="DK50" s="385">
        <f t="shared" si="298"/>
        <v>4.6399037530768572E-2</v>
      </c>
      <c r="DL50" s="385">
        <f t="shared" si="198"/>
        <v>3.7213492044702923E-2</v>
      </c>
      <c r="DM50" s="385">
        <f t="shared" si="198"/>
        <v>4.0495088184009598E-2</v>
      </c>
      <c r="DN50" s="385">
        <f t="shared" si="198"/>
        <v>3.6113527823884883E-2</v>
      </c>
      <c r="DO50" s="385">
        <f t="shared" si="198"/>
        <v>3.3846631343250611E-2</v>
      </c>
      <c r="DP50" s="385">
        <f t="shared" ref="DP50:DQ50" si="365">DP25-DP26</f>
        <v>3.7154206781893961E-2</v>
      </c>
      <c r="DQ50" s="385">
        <f t="shared" si="365"/>
        <v>4.0489859202145428E-2</v>
      </c>
      <c r="DR50" s="385">
        <f t="shared" si="199"/>
        <v>3.5486474195265183E-2</v>
      </c>
      <c r="DS50" s="385">
        <f t="shared" si="199"/>
        <v>3.1447567080512995E-2</v>
      </c>
      <c r="DT50" s="385">
        <f t="shared" ref="DT50:DU50" si="366">DT25-DT26</f>
        <v>6.1176001643608702E-2</v>
      </c>
      <c r="DU50" s="385">
        <f t="shared" si="366"/>
        <v>6.1371957646917163E-2</v>
      </c>
      <c r="DV50" s="385">
        <f t="shared" ref="DV50:DW50" si="367">DV25-DV26</f>
        <v>3.4065914819109366E-2</v>
      </c>
      <c r="DW50" s="385">
        <f t="shared" si="367"/>
        <v>3.97353365991997E-2</v>
      </c>
    </row>
    <row r="51" spans="1:163" ht="15.75" hidden="1" outlineLevel="1" thickBot="1" x14ac:dyDescent="0.3">
      <c r="A51" s="833">
        <v>17</v>
      </c>
      <c r="B51" s="307">
        <f t="shared" si="189"/>
        <v>0.70637581201379418</v>
      </c>
      <c r="C51" s="309">
        <f t="shared" si="189"/>
        <v>0.67146974063400577</v>
      </c>
      <c r="D51" s="342"/>
      <c r="E51" s="310">
        <f t="shared" ref="E51:AG51" si="368">E26/E$30</f>
        <v>0.64174785150643521</v>
      </c>
      <c r="F51" s="271">
        <f t="shared" si="368"/>
        <v>0.62301587301587302</v>
      </c>
      <c r="G51" s="342"/>
      <c r="H51" s="303">
        <f t="shared" si="368"/>
        <v>0.70199848012029686</v>
      </c>
      <c r="I51" s="305">
        <f t="shared" si="368"/>
        <v>0.74012158054711241</v>
      </c>
      <c r="J51" s="305"/>
      <c r="K51" s="305">
        <f t="shared" si="368"/>
        <v>0.71404918269604734</v>
      </c>
      <c r="L51" s="270">
        <f t="shared" si="368"/>
        <v>0.73038229376257546</v>
      </c>
      <c r="M51" s="270"/>
      <c r="N51" s="270">
        <f t="shared" si="368"/>
        <v>0.82927676020696262</v>
      </c>
      <c r="O51" s="270">
        <f t="shared" si="368"/>
        <v>0.83173076923076927</v>
      </c>
      <c r="P51" s="335"/>
      <c r="Q51" s="303">
        <f t="shared" si="368"/>
        <v>0.688576645232992</v>
      </c>
      <c r="R51" s="305">
        <f t="shared" si="368"/>
        <v>0.69963811821471655</v>
      </c>
      <c r="S51" s="305"/>
      <c r="T51" s="270">
        <f t="shared" si="368"/>
        <v>0.78232726958475562</v>
      </c>
      <c r="U51" s="270">
        <f t="shared" si="368"/>
        <v>0.77641025641025641</v>
      </c>
      <c r="V51" s="305"/>
      <c r="W51" s="305">
        <f t="shared" si="368"/>
        <v>0.72919652862839124</v>
      </c>
      <c r="X51" s="305">
        <f t="shared" si="368"/>
        <v>0.73023255813953492</v>
      </c>
      <c r="Y51" s="305"/>
      <c r="Z51" s="270">
        <f t="shared" si="368"/>
        <v>0.79600536316981829</v>
      </c>
      <c r="AA51" s="270">
        <f t="shared" si="368"/>
        <v>0.79821428571428577</v>
      </c>
      <c r="AB51" s="304"/>
      <c r="AC51" s="304">
        <f t="shared" si="368"/>
        <v>0.66058817038181417</v>
      </c>
      <c r="AD51" s="304">
        <f t="shared" si="368"/>
        <v>0.65055762081784385</v>
      </c>
      <c r="AE51" s="335"/>
      <c r="AF51" s="305">
        <f t="shared" si="368"/>
        <v>0.69925647723488182</v>
      </c>
      <c r="AG51" s="305">
        <f t="shared" si="368"/>
        <v>0.69542253521126762</v>
      </c>
      <c r="AH51" s="305"/>
      <c r="AI51" s="269">
        <f t="shared" ref="AI51:AJ51" si="369">AI26/AI$30</f>
        <v>0.758944400157055</v>
      </c>
      <c r="AJ51" s="269">
        <f t="shared" si="369"/>
        <v>0.74762316335350043</v>
      </c>
      <c r="AK51" s="305"/>
      <c r="AL51" s="269">
        <f t="shared" ref="AL51:AM51" si="370">AL26/AL$30</f>
        <v>0.78858958596132656</v>
      </c>
      <c r="AM51" s="269">
        <f t="shared" si="370"/>
        <v>0.77411764705882358</v>
      </c>
      <c r="AN51" s="305"/>
      <c r="AO51" s="316">
        <f t="shared" ref="AO51:AP51" si="371">AO26/AO$30</f>
        <v>0.74412398545095226</v>
      </c>
      <c r="AP51" s="316">
        <f t="shared" si="371"/>
        <v>0.73228882833787468</v>
      </c>
      <c r="AQ51" s="313"/>
      <c r="AR51" s="316">
        <f t="shared" ref="AR51:AS51" si="372">AR26/AR$30</f>
        <v>0.82215337364834484</v>
      </c>
      <c r="AS51" s="316">
        <f t="shared" si="372"/>
        <v>0.81241914618369993</v>
      </c>
      <c r="AT51" s="313"/>
      <c r="AU51" s="316">
        <f t="shared" ref="AU51:AV51" si="373">AU26/AU$30</f>
        <v>0.78388952628833286</v>
      </c>
      <c r="AV51" s="316">
        <f t="shared" si="373"/>
        <v>0.77976857036207536</v>
      </c>
      <c r="AW51" s="313"/>
      <c r="AX51" s="316">
        <f t="shared" ref="AX51:AY51" si="374">AX26/AX$30</f>
        <v>0.82416504622767384</v>
      </c>
      <c r="AY51" s="316">
        <f t="shared" si="374"/>
        <v>0.81383855024711693</v>
      </c>
      <c r="AZ51" s="313"/>
      <c r="BA51" s="316">
        <f t="shared" ref="BA51:BB51" si="375">BA26/BA$30</f>
        <v>0.7972730149987648</v>
      </c>
      <c r="BB51" s="316">
        <f t="shared" si="375"/>
        <v>0.79025293028994448</v>
      </c>
      <c r="BC51" s="313"/>
      <c r="BD51" s="316">
        <f t="shared" si="264"/>
        <v>0.82043574736463354</v>
      </c>
      <c r="BE51" s="316">
        <f t="shared" si="264"/>
        <v>0.81468926553672316</v>
      </c>
      <c r="BF51" s="313"/>
      <c r="BG51" s="313">
        <f t="shared" si="195"/>
        <v>0.74879321314452696</v>
      </c>
      <c r="BH51" s="313">
        <f t="shared" si="188"/>
        <v>0.74549776782882415</v>
      </c>
      <c r="BI51" s="313"/>
      <c r="CE51" s="834" t="s">
        <v>157</v>
      </c>
      <c r="CF51" s="385">
        <f t="shared" si="207"/>
        <v>3.8246952292131597E-2</v>
      </c>
      <c r="CG51" s="385">
        <f t="shared" si="298"/>
        <v>2.9655338164546352E-2</v>
      </c>
      <c r="CH51" s="385">
        <f t="shared" si="298"/>
        <v>7.9289286080712618E-2</v>
      </c>
      <c r="CI51" s="385">
        <f t="shared" si="298"/>
        <v>9.6113505473130356E-2</v>
      </c>
      <c r="CJ51" s="385">
        <f t="shared" si="298"/>
        <v>5.4046063105291031E-2</v>
      </c>
      <c r="CK51" s="385">
        <f t="shared" si="298"/>
        <v>5.5700754099476057E-2</v>
      </c>
      <c r="CL51" s="385">
        <f t="shared" ref="CL51:CM52" si="376">CL26-CL27</f>
        <v>4.104233378858102E-2</v>
      </c>
      <c r="CM51" s="385">
        <f t="shared" si="376"/>
        <v>6.6458167308584004E-2</v>
      </c>
      <c r="CN51" s="385">
        <f t="shared" si="298"/>
        <v>7.955048390613717E-2</v>
      </c>
      <c r="CO51" s="385">
        <f t="shared" si="298"/>
        <v>0.10127038626609441</v>
      </c>
      <c r="CP51" s="385">
        <f t="shared" si="298"/>
        <v>7.9289286080712618E-2</v>
      </c>
      <c r="CQ51" s="385">
        <f t="shared" si="298"/>
        <v>9.6113505473130356E-2</v>
      </c>
      <c r="CR51" s="385">
        <f t="shared" si="298"/>
        <v>7.9624433850794984E-2</v>
      </c>
      <c r="CS51" s="385">
        <f t="shared" si="298"/>
        <v>7.0973721426345726E-2</v>
      </c>
      <c r="CT51" s="385">
        <f t="shared" si="298"/>
        <v>5.2263782452394381E-2</v>
      </c>
      <c r="CU51" s="385">
        <f t="shared" si="298"/>
        <v>5.0843618241737332E-2</v>
      </c>
      <c r="CV51" s="385">
        <f t="shared" si="298"/>
        <v>2.8840810826703533E-2</v>
      </c>
      <c r="CW51" s="385">
        <f t="shared" si="298"/>
        <v>2.9655338164546352E-2</v>
      </c>
      <c r="CX51" s="385">
        <f t="shared" si="298"/>
        <v>6.1735176370555145E-2</v>
      </c>
      <c r="CY51" s="385">
        <f t="shared" si="298"/>
        <v>5.9062410943288679E-2</v>
      </c>
      <c r="CZ51" s="385">
        <f t="shared" si="298"/>
        <v>4.4121811242431752E-2</v>
      </c>
      <c r="DA51" s="385">
        <f t="shared" si="298"/>
        <v>3.9579376100484343E-2</v>
      </c>
      <c r="DB51" s="385">
        <f t="shared" si="298"/>
        <v>4.9617003597717479E-2</v>
      </c>
      <c r="DC51" s="385">
        <f t="shared" si="298"/>
        <v>5.5781130411093782E-2</v>
      </c>
      <c r="DD51" s="385">
        <f t="shared" si="298"/>
        <v>4.2715028125800414E-2</v>
      </c>
      <c r="DE51" s="385">
        <f t="shared" si="298"/>
        <v>4.0675208460443368E-2</v>
      </c>
      <c r="DF51" s="385">
        <f t="shared" si="298"/>
        <v>7.8976829653072844E-2</v>
      </c>
      <c r="DG51" s="385">
        <f t="shared" si="298"/>
        <v>9.090629800307215E-2</v>
      </c>
      <c r="DH51" s="385">
        <f t="shared" si="298"/>
        <v>4.7338013569712123E-2</v>
      </c>
      <c r="DI51" s="385">
        <f t="shared" si="298"/>
        <v>5.429624261860333E-2</v>
      </c>
      <c r="DJ51" s="385">
        <f t="shared" si="298"/>
        <v>5.0725801560659312E-2</v>
      </c>
      <c r="DK51" s="385">
        <f t="shared" si="298"/>
        <v>4.0487052541538171E-2</v>
      </c>
      <c r="DL51" s="385">
        <f t="shared" ref="DL51:DO52" si="377">DL26-DL27</f>
        <v>6.3628708241524112E-2</v>
      </c>
      <c r="DM51" s="385">
        <f t="shared" si="377"/>
        <v>6.7009451398439168E-2</v>
      </c>
      <c r="DN51" s="385">
        <f t="shared" si="377"/>
        <v>4.8088668646046884E-2</v>
      </c>
      <c r="DO51" s="385">
        <f t="shared" si="377"/>
        <v>4.6623623560876792E-2</v>
      </c>
      <c r="DP51" s="385">
        <f t="shared" ref="DP51:DS52" si="378">DP26-DP27</f>
        <v>3.9708082657300858E-2</v>
      </c>
      <c r="DQ51" s="385">
        <f t="shared" si="378"/>
        <v>3.799048517732162E-2</v>
      </c>
      <c r="DR51" s="385">
        <f t="shared" si="378"/>
        <v>4.1032557484665944E-2</v>
      </c>
      <c r="DS51" s="385">
        <f t="shared" si="378"/>
        <v>3.5225081632707766E-2</v>
      </c>
      <c r="DT51" s="385">
        <f t="shared" ref="DT51:DU51" si="379">DT26-DT27</f>
        <v>4.5726112890941417E-2</v>
      </c>
      <c r="DU51" s="385">
        <f t="shared" si="379"/>
        <v>4.6661200225490695E-2</v>
      </c>
      <c r="DV51" s="385">
        <f t="shared" ref="DV51:DW51" si="380">DV26-DV27</f>
        <v>4.2721140338724206E-2</v>
      </c>
      <c r="DW51" s="385">
        <f t="shared" si="380"/>
        <v>4.9363628963446926E-2</v>
      </c>
    </row>
    <row r="52" spans="1:163" ht="15.75" hidden="1" outlineLevel="1" thickBot="1" x14ac:dyDescent="0.3">
      <c r="A52" s="833">
        <v>18</v>
      </c>
      <c r="B52" s="272">
        <f t="shared" si="189"/>
        <v>0.74843211163685941</v>
      </c>
      <c r="C52" s="308">
        <f t="shared" si="189"/>
        <v>0.72046109510086453</v>
      </c>
      <c r="D52" s="343"/>
      <c r="E52" s="311">
        <f t="shared" ref="E52:AG52" si="381">E27/E$30</f>
        <v>0.67615303952525174</v>
      </c>
      <c r="F52" s="312">
        <f t="shared" si="381"/>
        <v>0.66269841269841268</v>
      </c>
      <c r="G52" s="343"/>
      <c r="H52" s="302">
        <f t="shared" si="381"/>
        <v>0.74356072242792703</v>
      </c>
      <c r="I52" s="269">
        <f t="shared" si="381"/>
        <v>0.78115501519756836</v>
      </c>
      <c r="J52" s="269"/>
      <c r="K52" s="269">
        <f t="shared" si="381"/>
        <v>0.74172972852840835</v>
      </c>
      <c r="L52" s="269">
        <f t="shared" si="381"/>
        <v>0.75855130784708247</v>
      </c>
      <c r="M52" s="269"/>
      <c r="N52" s="269">
        <f t="shared" si="381"/>
        <v>0.84959657348887596</v>
      </c>
      <c r="O52" s="269">
        <f t="shared" si="381"/>
        <v>0.85276442307692313</v>
      </c>
      <c r="P52" s="302"/>
      <c r="Q52" s="302">
        <f t="shared" si="381"/>
        <v>0.71914715997408496</v>
      </c>
      <c r="R52" s="269">
        <f t="shared" si="381"/>
        <v>0.72979493365500603</v>
      </c>
      <c r="S52" s="269"/>
      <c r="T52" s="269">
        <f t="shared" si="381"/>
        <v>0.81029685001944429</v>
      </c>
      <c r="U52" s="269">
        <f t="shared" si="381"/>
        <v>0.801025641025641</v>
      </c>
      <c r="V52" s="269"/>
      <c r="W52" s="269">
        <f t="shared" si="381"/>
        <v>0.7565696315794046</v>
      </c>
      <c r="X52" s="269">
        <f t="shared" si="381"/>
        <v>0.76124031007751936</v>
      </c>
      <c r="Y52" s="269"/>
      <c r="Z52" s="269">
        <f t="shared" si="381"/>
        <v>0.82402330204817609</v>
      </c>
      <c r="AA52" s="269">
        <f t="shared" si="381"/>
        <v>0.82499999999999996</v>
      </c>
      <c r="AB52" s="350"/>
      <c r="AC52" s="306">
        <f t="shared" si="381"/>
        <v>0.69694879717501657</v>
      </c>
      <c r="AD52" s="306">
        <f t="shared" si="381"/>
        <v>0.69144981412639406</v>
      </c>
      <c r="AE52" s="350"/>
      <c r="AF52" s="269">
        <f t="shared" si="381"/>
        <v>0.72319526199848327</v>
      </c>
      <c r="AG52" s="269">
        <f t="shared" si="381"/>
        <v>0.72271126760563376</v>
      </c>
      <c r="AH52" s="269"/>
      <c r="AI52" s="269">
        <f t="shared" ref="AI52:AJ52" si="382">AI27/AI$30</f>
        <v>0.78933215938700962</v>
      </c>
      <c r="AJ52" s="269">
        <f t="shared" si="382"/>
        <v>0.77095937770095069</v>
      </c>
      <c r="AK52" s="269"/>
      <c r="AL52" s="269">
        <f t="shared" ref="AL52:AM52" si="383">AL27/AL$30</f>
        <v>0.83024893416577517</v>
      </c>
      <c r="AM52" s="269">
        <f t="shared" si="383"/>
        <v>0.81647058823529417</v>
      </c>
      <c r="AN52" s="269"/>
      <c r="AO52" s="316">
        <f t="shared" ref="AO52:AP52" si="384">AO27/AO$30</f>
        <v>0.77173987238703845</v>
      </c>
      <c r="AP52" s="316">
        <f t="shared" si="384"/>
        <v>0.75817438692098094</v>
      </c>
      <c r="AQ52" s="354"/>
      <c r="AR52" s="316">
        <f t="shared" ref="AR52:AS52" si="385">AR27/AR$30</f>
        <v>0.84989930018894377</v>
      </c>
      <c r="AS52" s="316">
        <f t="shared" si="385"/>
        <v>0.83829236739974122</v>
      </c>
      <c r="AT52" s="354"/>
      <c r="AU52" s="316">
        <f t="shared" ref="AU52:AV52" si="386">AU27/AU$30</f>
        <v>0.8099412811569463</v>
      </c>
      <c r="AV52" s="316">
        <f t="shared" si="386"/>
        <v>0.80179171332586785</v>
      </c>
      <c r="AW52" s="354"/>
      <c r="AX52" s="316">
        <f t="shared" ref="AX52:AY52" si="387">AX27/AX$30</f>
        <v>0.85644075603624414</v>
      </c>
      <c r="AY52" s="316">
        <f t="shared" si="387"/>
        <v>0.84596375617792419</v>
      </c>
      <c r="AZ52" s="354"/>
      <c r="BA52" s="316">
        <f t="shared" ref="BA52:BB52" si="388">BA27/BA$30</f>
        <v>0.82538600260535899</v>
      </c>
      <c r="BB52" s="316">
        <f t="shared" si="388"/>
        <v>0.82233189389265882</v>
      </c>
      <c r="BC52" s="354"/>
      <c r="BD52" s="316">
        <f t="shared" si="264"/>
        <v>0.8404281410908323</v>
      </c>
      <c r="BE52" s="316">
        <f t="shared" si="264"/>
        <v>0.83672316384180789</v>
      </c>
      <c r="BF52" s="354"/>
      <c r="BG52" s="382">
        <f t="shared" si="195"/>
        <v>0.77932483051031209</v>
      </c>
      <c r="BH52" s="382">
        <f t="shared" si="188"/>
        <v>0.77635340301397104</v>
      </c>
      <c r="BI52" s="383" t="s">
        <v>277</v>
      </c>
      <c r="BJ52" s="384" t="s">
        <v>157</v>
      </c>
      <c r="CE52" s="834" t="s">
        <v>158</v>
      </c>
      <c r="CF52" s="385">
        <f t="shared" si="207"/>
        <v>4.0889938487510324E-2</v>
      </c>
      <c r="CG52" s="385">
        <f t="shared" si="298"/>
        <v>5.0606901710102514E-2</v>
      </c>
      <c r="CH52" s="385">
        <f t="shared" si="298"/>
        <v>9.7230686633940744E-2</v>
      </c>
      <c r="CI52" s="385">
        <f t="shared" si="298"/>
        <v>0.10116080687786422</v>
      </c>
      <c r="CJ52" s="385">
        <f t="shared" si="298"/>
        <v>6.8775116578929207E-2</v>
      </c>
      <c r="CK52" s="385">
        <f t="shared" si="298"/>
        <v>6.9405260058862162E-2</v>
      </c>
      <c r="CL52" s="385">
        <f t="shared" si="376"/>
        <v>5.6340748146430419E-2</v>
      </c>
      <c r="CM52" s="385">
        <f t="shared" si="376"/>
        <v>5.0553905167761704E-2</v>
      </c>
      <c r="CN52" s="385">
        <f t="shared" si="298"/>
        <v>7.856238570941243E-2</v>
      </c>
      <c r="CO52" s="385">
        <f t="shared" si="298"/>
        <v>8.8374531835205827E-2</v>
      </c>
      <c r="CP52" s="385">
        <f t="shared" si="298"/>
        <v>9.7230686633940744E-2</v>
      </c>
      <c r="CQ52" s="385">
        <f t="shared" si="298"/>
        <v>0.10116080687786422</v>
      </c>
      <c r="CR52" s="385">
        <f t="shared" si="298"/>
        <v>0.12224490627552909</v>
      </c>
      <c r="CS52" s="385">
        <f t="shared" si="298"/>
        <v>8.1612836923164123E-2</v>
      </c>
      <c r="CT52" s="385">
        <f t="shared" si="298"/>
        <v>8.8404080378648553E-2</v>
      </c>
      <c r="CU52" s="385">
        <f t="shared" si="298"/>
        <v>7.8900891008552909E-2</v>
      </c>
      <c r="CV52" s="385">
        <f t="shared" si="298"/>
        <v>5.0296079952938388E-2</v>
      </c>
      <c r="CW52" s="385">
        <f t="shared" si="298"/>
        <v>5.0606901710102514E-2</v>
      </c>
      <c r="CX52" s="385">
        <f t="shared" si="298"/>
        <v>8.7286423504656874E-2</v>
      </c>
      <c r="CY52" s="385">
        <f t="shared" si="298"/>
        <v>8.4976616054839971E-2</v>
      </c>
      <c r="CZ52" s="385">
        <f t="shared" si="298"/>
        <v>6.3503582241870804E-2</v>
      </c>
      <c r="DA52" s="385">
        <f t="shared" si="298"/>
        <v>6.9439391100920123E-2</v>
      </c>
      <c r="DB52" s="385">
        <f t="shared" si="298"/>
        <v>6.5035826235646743E-2</v>
      </c>
      <c r="DC52" s="385">
        <f t="shared" si="298"/>
        <v>7.0871054707274395E-2</v>
      </c>
      <c r="DD52" s="385">
        <f t="shared" si="298"/>
        <v>5.4534475825388284E-2</v>
      </c>
      <c r="DE52" s="385">
        <f t="shared" si="298"/>
        <v>5.6687924638405995E-2</v>
      </c>
      <c r="DF52" s="385">
        <f t="shared" si="298"/>
        <v>7.7629288662660834E-2</v>
      </c>
      <c r="DG52" s="385">
        <f t="shared" si="298"/>
        <v>8.7650700553926431E-2</v>
      </c>
      <c r="DH52" s="385">
        <f t="shared" si="298"/>
        <v>0.12127368870081923</v>
      </c>
      <c r="DI52" s="385">
        <f t="shared" si="298"/>
        <v>0.12145621870347822</v>
      </c>
      <c r="DJ52" s="385">
        <f t="shared" si="298"/>
        <v>9.527840863777115E-2</v>
      </c>
      <c r="DK52" s="385">
        <f t="shared" si="298"/>
        <v>0.10797934362311556</v>
      </c>
      <c r="DL52" s="385">
        <f t="shared" si="377"/>
        <v>7.0342390822838663E-2</v>
      </c>
      <c r="DM52" s="385">
        <f t="shared" si="377"/>
        <v>6.9892557323643523E-2</v>
      </c>
      <c r="DN52" s="385">
        <f t="shared" si="377"/>
        <v>7.9024010207036532E-2</v>
      </c>
      <c r="DO52" s="385">
        <f t="shared" si="377"/>
        <v>8.7414147626886596E-2</v>
      </c>
      <c r="DP52" s="385">
        <f t="shared" ref="DP52:DQ52" si="389">DP27-DP28</f>
        <v>3.9123023002673341E-2</v>
      </c>
      <c r="DQ52" s="385">
        <f t="shared" si="389"/>
        <v>3.9169891284319247E-2</v>
      </c>
      <c r="DR52" s="385">
        <f t="shared" si="378"/>
        <v>4.3290101118801161E-2</v>
      </c>
      <c r="DS52" s="385">
        <f t="shared" si="378"/>
        <v>4.0993286531055828E-2</v>
      </c>
      <c r="DT52" s="385">
        <f t="shared" ref="DT52:DU52" si="390">DT27-DT28</f>
        <v>3.6681403770013166E-2</v>
      </c>
      <c r="DU52" s="385">
        <f t="shared" si="390"/>
        <v>3.7880157518902946E-2</v>
      </c>
      <c r="DV52" s="385">
        <f t="shared" ref="DV52:DW52" si="391">DV27-DV28</f>
        <v>2.2277183105877452E-2</v>
      </c>
      <c r="DW52" s="385">
        <f t="shared" si="391"/>
        <v>2.6765678947249683E-2</v>
      </c>
    </row>
    <row r="53" spans="1:163" ht="15.75" hidden="1" outlineLevel="1" thickBot="1" x14ac:dyDescent="0.3">
      <c r="A53" s="833">
        <v>19</v>
      </c>
      <c r="B53" s="271">
        <f t="shared" si="189"/>
        <v>0.79518806640468365</v>
      </c>
      <c r="C53" s="271">
        <f t="shared" si="189"/>
        <v>0.7694524495677233</v>
      </c>
      <c r="D53" s="344"/>
      <c r="E53" s="307">
        <f t="shared" ref="E53:AG53" si="392">E28/E$30</f>
        <v>0.72373331146273312</v>
      </c>
      <c r="F53" s="309">
        <f t="shared" si="392"/>
        <v>0.71031746031746035</v>
      </c>
      <c r="G53" s="344"/>
      <c r="H53" s="270">
        <f t="shared" si="392"/>
        <v>0.81790547641761124</v>
      </c>
      <c r="I53" s="270">
        <f t="shared" si="392"/>
        <v>0.83434650455927051</v>
      </c>
      <c r="J53" s="270"/>
      <c r="K53" s="270">
        <f t="shared" si="392"/>
        <v>0.79377937793779374</v>
      </c>
      <c r="L53" s="270">
        <f t="shared" si="392"/>
        <v>0.80684104627766595</v>
      </c>
      <c r="M53" s="270"/>
      <c r="N53" s="270">
        <f t="shared" si="392"/>
        <v>0.88752159346152082</v>
      </c>
      <c r="O53" s="270">
        <f t="shared" si="392"/>
        <v>0.89122596153846156</v>
      </c>
      <c r="P53" s="270"/>
      <c r="Q53" s="270">
        <f t="shared" si="392"/>
        <v>0.76731274983547026</v>
      </c>
      <c r="R53" s="270">
        <f t="shared" si="392"/>
        <v>0.77804583835946928</v>
      </c>
      <c r="S53" s="270"/>
      <c r="T53" s="270">
        <f t="shared" si="392"/>
        <v>0.8542539860865056</v>
      </c>
      <c r="U53" s="270">
        <f t="shared" si="392"/>
        <v>0.84820512820512817</v>
      </c>
      <c r="V53" s="270"/>
      <c r="W53" s="270">
        <f t="shared" si="392"/>
        <v>0.79572246401362134</v>
      </c>
      <c r="X53" s="270">
        <f t="shared" si="392"/>
        <v>0.8046511627906977</v>
      </c>
      <c r="Y53" s="270"/>
      <c r="Z53" s="270">
        <f t="shared" si="392"/>
        <v>0.86279532109667578</v>
      </c>
      <c r="AA53" s="270">
        <f t="shared" si="392"/>
        <v>0.86547619047619051</v>
      </c>
      <c r="AB53" s="305"/>
      <c r="AC53" s="305">
        <f t="shared" si="392"/>
        <v>0.73681306554844406</v>
      </c>
      <c r="AD53" s="305">
        <f t="shared" si="392"/>
        <v>0.73605947955390338</v>
      </c>
      <c r="AE53" s="305"/>
      <c r="AF53" s="270">
        <f t="shared" si="392"/>
        <v>0.79272045871301944</v>
      </c>
      <c r="AG53" s="270">
        <f t="shared" si="392"/>
        <v>0.79225352112676062</v>
      </c>
      <c r="AH53" s="270"/>
      <c r="AI53" s="270">
        <f t="shared" ref="AI53:AJ53" si="393">AI28/AI$30</f>
        <v>0.85352243387628346</v>
      </c>
      <c r="AJ53" s="270">
        <f t="shared" si="393"/>
        <v>0.84096802074330168</v>
      </c>
      <c r="AK53" s="270"/>
      <c r="AL53" s="270">
        <f t="shared" ref="AL53:AM53" si="394">AL28/AL$30</f>
        <v>0.88174429559135836</v>
      </c>
      <c r="AM53" s="270">
        <f t="shared" si="394"/>
        <v>0.86588235294117644</v>
      </c>
      <c r="AN53" s="270"/>
      <c r="AO53" s="316">
        <f t="shared" ref="AO53:AP53" si="395">AO28/AO$30</f>
        <v>0.82186192706623462</v>
      </c>
      <c r="AP53" s="316">
        <f t="shared" si="395"/>
        <v>0.81198910081743869</v>
      </c>
      <c r="AQ53" s="313"/>
      <c r="AR53" s="316">
        <f t="shared" ref="AR53:AS53" si="396">AR28/AR$30</f>
        <v>0.87913095829144827</v>
      </c>
      <c r="AS53" s="316">
        <f t="shared" si="396"/>
        <v>0.86675291073738681</v>
      </c>
      <c r="AT53" s="313"/>
      <c r="AU53" s="316">
        <f t="shared" ref="AU53:AV53" si="397">AU28/AU$30</f>
        <v>0.83937170102974723</v>
      </c>
      <c r="AV53" s="316">
        <f t="shared" si="397"/>
        <v>0.82904068682344156</v>
      </c>
      <c r="AW53" s="313"/>
      <c r="AX53" s="316">
        <f t="shared" ref="AX53:AY53" si="398">AX28/AX$30</f>
        <v>0.88421888962482698</v>
      </c>
      <c r="AY53" s="316">
        <f t="shared" si="398"/>
        <v>0.87397034596375622</v>
      </c>
      <c r="AZ53" s="313"/>
      <c r="BA53" s="316">
        <f t="shared" ref="BA53:BB53" si="399">BA28/BA$30</f>
        <v>0.84084688561920573</v>
      </c>
      <c r="BB53" s="316">
        <f t="shared" si="399"/>
        <v>0.84083898827884018</v>
      </c>
      <c r="BC53" s="313"/>
      <c r="BD53" s="316">
        <f t="shared" si="264"/>
        <v>0.85992916567086541</v>
      </c>
      <c r="BE53" s="316">
        <f t="shared" si="264"/>
        <v>0.85649717514124291</v>
      </c>
      <c r="BF53" s="313"/>
      <c r="BG53" s="313">
        <f t="shared" si="195"/>
        <v>0.82212363798580035</v>
      </c>
      <c r="BH53" s="313">
        <f t="shared" si="188"/>
        <v>0.8192613296881337</v>
      </c>
      <c r="BI53" s="313"/>
      <c r="CE53" s="167" t="s">
        <v>159</v>
      </c>
      <c r="CF53" s="385">
        <f t="shared" si="207"/>
        <v>5.2587483436856486E-2</v>
      </c>
      <c r="CG53" s="385">
        <f t="shared" si="298"/>
        <v>4.5027245131991966E-2</v>
      </c>
      <c r="CH53" s="385">
        <f t="shared" si="298"/>
        <v>7.1904293223067794E-2</v>
      </c>
      <c r="CI53" s="385">
        <f t="shared" si="298"/>
        <v>9.5321229050279399E-2</v>
      </c>
      <c r="CJ53" s="385">
        <f t="shared" ref="CG53:DK54" si="400">CJ28-CJ29</f>
        <v>8.5179354688989406E-2</v>
      </c>
      <c r="CK53" s="385">
        <f t="shared" si="400"/>
        <v>8.9506281642267815E-2</v>
      </c>
      <c r="CL53" s="385">
        <f t="shared" ref="CL53:CM53" si="401">CL28-CL29</f>
        <v>1.9316809786211309E-2</v>
      </c>
      <c r="CM53" s="385">
        <f t="shared" si="401"/>
        <v>5.0293983918287433E-2</v>
      </c>
      <c r="CN53" s="385">
        <f t="shared" si="400"/>
        <v>0.11596522795145647</v>
      </c>
      <c r="CO53" s="385">
        <f t="shared" si="400"/>
        <v>0.14295880149812734</v>
      </c>
      <c r="CP53" s="385">
        <f t="shared" si="400"/>
        <v>7.1904293223067794E-2</v>
      </c>
      <c r="CQ53" s="385">
        <f t="shared" si="400"/>
        <v>9.5321229050279399E-2</v>
      </c>
      <c r="CR53" s="385">
        <f t="shared" si="400"/>
        <v>8.6389279237190753E-2</v>
      </c>
      <c r="CS53" s="385">
        <f t="shared" si="400"/>
        <v>7.1830476333058835E-2</v>
      </c>
      <c r="CT53" s="385">
        <f t="shared" si="400"/>
        <v>0.12056836616496636</v>
      </c>
      <c r="CU53" s="385">
        <f t="shared" si="400"/>
        <v>0.10985604171389696</v>
      </c>
      <c r="CV53" s="385">
        <f t="shared" si="400"/>
        <v>4.44323483924145E-2</v>
      </c>
      <c r="CW53" s="385">
        <f t="shared" si="400"/>
        <v>4.5027245131991966E-2</v>
      </c>
      <c r="CX53" s="385">
        <f t="shared" si="400"/>
        <v>0.12288526604607797</v>
      </c>
      <c r="CY53" s="385">
        <f t="shared" si="400"/>
        <v>0.11848736286816264</v>
      </c>
      <c r="CZ53" s="385">
        <f t="shared" si="400"/>
        <v>4.6985438064353513E-2</v>
      </c>
      <c r="DA53" s="385">
        <f t="shared" si="400"/>
        <v>4.9180258959984569E-2</v>
      </c>
      <c r="DB53" s="385">
        <f t="shared" si="400"/>
        <v>0.1021489585811719</v>
      </c>
      <c r="DC53" s="385">
        <f t="shared" si="400"/>
        <v>8.686058797936469E-2</v>
      </c>
      <c r="DD53" s="385">
        <f t="shared" si="400"/>
        <v>6.1698809113778008E-2</v>
      </c>
      <c r="DE53" s="385">
        <f t="shared" si="400"/>
        <v>5.9542876523902111E-2</v>
      </c>
      <c r="DF53" s="385">
        <f t="shared" si="400"/>
        <v>0.15446225581087902</v>
      </c>
      <c r="DG53" s="385">
        <f t="shared" si="400"/>
        <v>0.1735638321541404</v>
      </c>
      <c r="DH53" s="385">
        <f t="shared" si="400"/>
        <v>9.8311724997090622E-2</v>
      </c>
      <c r="DI53" s="385">
        <f t="shared" si="400"/>
        <v>0.10892272983643525</v>
      </c>
      <c r="DJ53" s="385">
        <f t="shared" si="400"/>
        <v>7.4668135048743256E-2</v>
      </c>
      <c r="DK53" s="385">
        <f t="shared" si="400"/>
        <v>9.0340426071841007E-2</v>
      </c>
      <c r="DL53" s="385">
        <f t="shared" ref="DL53:DO53" si="402">DL28-DL29</f>
        <v>6.4811587587802366E-2</v>
      </c>
      <c r="DM53" s="385">
        <f t="shared" si="402"/>
        <v>7.0707630878438454E-2</v>
      </c>
      <c r="DN53" s="385">
        <f t="shared" si="402"/>
        <v>9.0799202522545919E-2</v>
      </c>
      <c r="DO53" s="385">
        <f t="shared" si="402"/>
        <v>0.10318082631326431</v>
      </c>
      <c r="DP53" s="385">
        <f t="shared" ref="DP53:DS53" si="403">DP28-DP29</f>
        <v>4.9516199683472983E-2</v>
      </c>
      <c r="DQ53" s="385">
        <f t="shared" si="403"/>
        <v>5.1806895671322684E-2</v>
      </c>
      <c r="DR53" s="385">
        <f t="shared" si="403"/>
        <v>8.6020877286080655E-2</v>
      </c>
      <c r="DS53" s="385">
        <f t="shared" si="403"/>
        <v>9.1820738511006361E-2</v>
      </c>
      <c r="DT53" s="385">
        <f t="shared" ref="DT53:DU53" si="404">DT28-DT29</f>
        <v>5.6796018154353645E-2</v>
      </c>
      <c r="DU53" s="385">
        <f t="shared" si="404"/>
        <v>6.0275010098290061E-2</v>
      </c>
      <c r="DV53" s="385">
        <f t="shared" ref="DV53:DW53" si="405">DV28-DV29</f>
        <v>7.7628999743279081E-2</v>
      </c>
      <c r="DW53" s="385">
        <f t="shared" si="405"/>
        <v>8.2047897397656389E-2</v>
      </c>
    </row>
    <row r="54" spans="1:163" hidden="1" outlineLevel="1" x14ac:dyDescent="0.25">
      <c r="A54" s="285">
        <v>20</v>
      </c>
      <c r="B54" s="272">
        <f t="shared" si="189"/>
        <v>0.87596439169139462</v>
      </c>
      <c r="C54" s="272">
        <f t="shared" si="189"/>
        <v>0.86455331412103742</v>
      </c>
      <c r="D54" s="345"/>
      <c r="E54" s="272">
        <f t="shared" ref="E54:AG54" si="406">E29/E$30</f>
        <v>0.76346360009607439</v>
      </c>
      <c r="F54" s="308">
        <f t="shared" si="406"/>
        <v>0.76190476190476186</v>
      </c>
      <c r="G54" s="345"/>
      <c r="H54" s="272">
        <f t="shared" si="406"/>
        <v>0.88009119278218828</v>
      </c>
      <c r="I54" s="272">
        <f t="shared" si="406"/>
        <v>0.88753799392097266</v>
      </c>
      <c r="J54" s="272"/>
      <c r="K54" s="269">
        <f t="shared" si="406"/>
        <v>0.87778777877787784</v>
      </c>
      <c r="L54" s="269">
        <f t="shared" si="406"/>
        <v>0.88531187122736421</v>
      </c>
      <c r="M54" s="269"/>
      <c r="N54" s="269">
        <f t="shared" si="406"/>
        <v>0.9239575534242106</v>
      </c>
      <c r="O54" s="269">
        <f t="shared" si="406"/>
        <v>0.92848557692307687</v>
      </c>
      <c r="P54" s="269"/>
      <c r="Q54" s="269">
        <f t="shared" si="406"/>
        <v>0.84719608099214616</v>
      </c>
      <c r="R54" s="269">
        <f t="shared" si="406"/>
        <v>0.85705669481302771</v>
      </c>
      <c r="S54" s="269"/>
      <c r="T54" s="269">
        <f t="shared" si="406"/>
        <v>0.88997537052240416</v>
      </c>
      <c r="U54" s="269">
        <f t="shared" si="406"/>
        <v>0.88512820512820511</v>
      </c>
      <c r="V54" s="269"/>
      <c r="W54" s="269">
        <f t="shared" si="406"/>
        <v>0.86612285319642435</v>
      </c>
      <c r="X54" s="269">
        <f t="shared" si="406"/>
        <v>0.8651162790697674</v>
      </c>
      <c r="Y54" s="269"/>
      <c r="Z54" s="269">
        <f t="shared" si="406"/>
        <v>0.91130734970024807</v>
      </c>
      <c r="AA54" s="269">
        <f t="shared" si="406"/>
        <v>0.91249999999999998</v>
      </c>
      <c r="AB54" s="269"/>
      <c r="AC54" s="269">
        <f t="shared" si="406"/>
        <v>0.83143897594350036</v>
      </c>
      <c r="AD54" s="269">
        <f t="shared" si="406"/>
        <v>0.84386617100371752</v>
      </c>
      <c r="AE54" s="269"/>
      <c r="AF54" s="269">
        <f t="shared" si="406"/>
        <v>0.85972177081201673</v>
      </c>
      <c r="AG54" s="269">
        <f t="shared" si="406"/>
        <v>0.86707746478873238</v>
      </c>
      <c r="AH54" s="269"/>
      <c r="AI54" s="269">
        <f t="shared" ref="AI54:AJ54" si="407">AI29/AI$30</f>
        <v>0.9116208787940081</v>
      </c>
      <c r="AJ54" s="269">
        <f t="shared" si="407"/>
        <v>0.9101123595505618</v>
      </c>
      <c r="AK54" s="269"/>
      <c r="AL54" s="269">
        <f t="shared" ref="AL54:AM54" si="408">AL29/AL$30</f>
        <v>0.93518769859645201</v>
      </c>
      <c r="AM54" s="269">
        <f t="shared" si="408"/>
        <v>0.9223529411764706</v>
      </c>
      <c r="AN54" s="269"/>
      <c r="AO54" s="317">
        <f t="shared" ref="AO54:AP54" si="409">AO29/AO$30</f>
        <v>0.88813875552984078</v>
      </c>
      <c r="AP54" s="317">
        <f t="shared" si="409"/>
        <v>0.88623978201634879</v>
      </c>
      <c r="AQ54" s="354"/>
      <c r="AR54" s="317">
        <f t="shared" ref="AR54:AS54" si="410">AR29/AR$30</f>
        <v>0.91914234988447596</v>
      </c>
      <c r="AS54" s="317">
        <f t="shared" si="410"/>
        <v>0.90750323415265199</v>
      </c>
      <c r="AT54" s="354"/>
      <c r="AU54" s="317">
        <f t="shared" ref="AU54:AV54" si="411">AU29/AU$30</f>
        <v>0.9046937470293972</v>
      </c>
      <c r="AV54" s="317">
        <f t="shared" si="411"/>
        <v>0.89734975737215383</v>
      </c>
      <c r="AW54" s="354"/>
      <c r="AX54" s="317">
        <f t="shared" ref="AX54:AY54" si="412">AX29/AX$30</f>
        <v>0.93097242939824909</v>
      </c>
      <c r="AY54" s="317">
        <f t="shared" si="412"/>
        <v>0.92257001647446457</v>
      </c>
      <c r="AZ54" s="354"/>
      <c r="BA54" s="317">
        <f t="shared" ref="BA54:BB54" si="413">BA29/BA$30</f>
        <v>0.89956519661981027</v>
      </c>
      <c r="BB54" s="317">
        <f t="shared" si="413"/>
        <v>0.90314620604565088</v>
      </c>
      <c r="BC54" s="354"/>
      <c r="BD54" s="317">
        <f t="shared" si="264"/>
        <v>0.90992220812491853</v>
      </c>
      <c r="BE54" s="317">
        <f t="shared" si="264"/>
        <v>0.90790960451977398</v>
      </c>
      <c r="BF54" s="354"/>
      <c r="BG54" s="313">
        <f t="shared" si="195"/>
        <v>0.88258990652389058</v>
      </c>
      <c r="BH54" s="313">
        <f t="shared" si="188"/>
        <v>0.88239888898273511</v>
      </c>
      <c r="BI54" s="313"/>
      <c r="CE54" s="167" t="s">
        <v>160</v>
      </c>
      <c r="CF54" s="385">
        <f t="shared" si="207"/>
        <v>7.4145665781282233E-2</v>
      </c>
      <c r="CG54" s="385">
        <f t="shared" si="400"/>
        <v>7.7022653721682932E-2</v>
      </c>
      <c r="CH54" s="385">
        <f t="shared" si="400"/>
        <v>0.30982014057272633</v>
      </c>
      <c r="CI54" s="385">
        <f t="shared" si="400"/>
        <v>0.3125</v>
      </c>
      <c r="CJ54" s="385">
        <f t="shared" si="400"/>
        <v>0.13561387126695124</v>
      </c>
      <c r="CK54" s="385">
        <f t="shared" si="400"/>
        <v>0.13565322983356864</v>
      </c>
      <c r="CL54" s="385">
        <f t="shared" ref="CL54:CM54" si="414">CL29-CL30</f>
        <v>0.2356744747914441</v>
      </c>
      <c r="CM54" s="385">
        <f t="shared" si="414"/>
        <v>0.23547734627831707</v>
      </c>
      <c r="CN54" s="385">
        <f t="shared" si="400"/>
        <v>0.14159891598915997</v>
      </c>
      <c r="CO54" s="385">
        <f t="shared" si="400"/>
        <v>0.15666666666666673</v>
      </c>
      <c r="CP54" s="385">
        <f t="shared" si="400"/>
        <v>0.30982014057272633</v>
      </c>
      <c r="CQ54" s="385">
        <f t="shared" si="400"/>
        <v>0.3125</v>
      </c>
      <c r="CR54" s="385">
        <f t="shared" si="400"/>
        <v>0.13624588929102899</v>
      </c>
      <c r="CS54" s="385">
        <f t="shared" si="400"/>
        <v>0.12671232876712324</v>
      </c>
      <c r="CT54" s="385">
        <f t="shared" si="400"/>
        <v>0.13922752648968895</v>
      </c>
      <c r="CU54" s="385">
        <f t="shared" si="400"/>
        <v>0.12954545454545463</v>
      </c>
      <c r="CV54" s="385">
        <f t="shared" si="400"/>
        <v>8.2300800825724219E-2</v>
      </c>
      <c r="CW54" s="385">
        <f t="shared" si="400"/>
        <v>7.7022653721682932E-2</v>
      </c>
      <c r="CX54" s="385">
        <f t="shared" si="400"/>
        <v>0.18036428925509917</v>
      </c>
      <c r="CY54" s="385">
        <f t="shared" si="400"/>
        <v>0.16678395496129483</v>
      </c>
      <c r="CZ54" s="385">
        <f t="shared" si="400"/>
        <v>0.12362660037773043</v>
      </c>
      <c r="DA54" s="385">
        <f t="shared" si="400"/>
        <v>0.12977983777520286</v>
      </c>
      <c r="DB54" s="385">
        <f t="shared" si="400"/>
        <v>0.15457062044893788</v>
      </c>
      <c r="DC54" s="385">
        <f t="shared" si="400"/>
        <v>0.15591397849462374</v>
      </c>
      <c r="DD54" s="385">
        <f t="shared" si="400"/>
        <v>9.7324629642156602E-2</v>
      </c>
      <c r="DE54" s="385">
        <f t="shared" si="400"/>
        <v>9.5890410958904049E-2</v>
      </c>
      <c r="DF54" s="385">
        <f t="shared" si="400"/>
        <v>0.2027340898533414</v>
      </c>
      <c r="DG54" s="385">
        <f t="shared" si="400"/>
        <v>0.18502202643171817</v>
      </c>
      <c r="DH54" s="385">
        <f t="shared" si="400"/>
        <v>0.16316700815368312</v>
      </c>
      <c r="DI54" s="385">
        <f t="shared" si="400"/>
        <v>0.15329949238578688</v>
      </c>
      <c r="DJ54" s="385">
        <f t="shared" si="400"/>
        <v>9.6947232409715589E-2</v>
      </c>
      <c r="DK54" s="385">
        <f t="shared" si="400"/>
        <v>9.8765432098765427E-2</v>
      </c>
      <c r="DL54" s="385">
        <f t="shared" ref="DL54:DO54" si="415">DL29-DL30</f>
        <v>6.9304056822838467E-2</v>
      </c>
      <c r="DM54" s="385">
        <f t="shared" si="415"/>
        <v>8.418367346938771E-2</v>
      </c>
      <c r="DN54" s="385">
        <f t="shared" si="415"/>
        <v>0.1259501893974051</v>
      </c>
      <c r="DO54" s="385">
        <f t="shared" si="415"/>
        <v>0.12836279784780946</v>
      </c>
      <c r="DP54" s="385">
        <f t="shared" ref="DP54:DS54" si="416">DP29-DP30</f>
        <v>8.797075896425266E-2</v>
      </c>
      <c r="DQ54" s="385">
        <f t="shared" si="416"/>
        <v>0.10192444761225938</v>
      </c>
      <c r="DR54" s="385">
        <f t="shared" si="416"/>
        <v>0.10534642610667455</v>
      </c>
      <c r="DS54" s="385">
        <f t="shared" si="416"/>
        <v>0.11439267886855231</v>
      </c>
      <c r="DT54" s="385">
        <f t="shared" ref="DT54:DU54" si="417">DT29-DT30</f>
        <v>7.4145665781282233E-2</v>
      </c>
      <c r="DU54" s="385">
        <f t="shared" si="417"/>
        <v>8.3928571428571352E-2</v>
      </c>
      <c r="DV54" s="385">
        <f t="shared" ref="DV54:DW54" si="418">DV29-DV30</f>
        <v>0.11164816486629525</v>
      </c>
      <c r="DW54" s="385">
        <f t="shared" si="418"/>
        <v>0.10724043715846987</v>
      </c>
    </row>
    <row r="55" spans="1:163" hidden="1" outlineLevel="1" x14ac:dyDescent="0.25">
      <c r="A55" s="284">
        <v>21</v>
      </c>
      <c r="B55" s="271">
        <f t="shared" si="189"/>
        <v>1</v>
      </c>
      <c r="C55" s="271">
        <f t="shared" si="189"/>
        <v>1</v>
      </c>
      <c r="D55" s="344"/>
      <c r="E55" s="271">
        <f t="shared" ref="E55:AG55" si="419">E30/E$30</f>
        <v>1</v>
      </c>
      <c r="F55" s="271">
        <f t="shared" si="419"/>
        <v>1</v>
      </c>
      <c r="G55" s="344"/>
      <c r="H55" s="271">
        <f t="shared" si="419"/>
        <v>1</v>
      </c>
      <c r="I55" s="271">
        <f t="shared" si="419"/>
        <v>1</v>
      </c>
      <c r="J55" s="271"/>
      <c r="K55" s="270">
        <f t="shared" si="419"/>
        <v>1</v>
      </c>
      <c r="L55" s="270">
        <f t="shared" si="419"/>
        <v>1</v>
      </c>
      <c r="M55" s="270"/>
      <c r="N55" s="270">
        <f t="shared" si="419"/>
        <v>1</v>
      </c>
      <c r="O55" s="270">
        <f t="shared" si="419"/>
        <v>1</v>
      </c>
      <c r="P55" s="270"/>
      <c r="Q55" s="270">
        <f t="shared" si="419"/>
        <v>1</v>
      </c>
      <c r="R55" s="270">
        <f t="shared" si="419"/>
        <v>1</v>
      </c>
      <c r="S55" s="270"/>
      <c r="T55" s="270">
        <f t="shared" si="419"/>
        <v>1</v>
      </c>
      <c r="U55" s="270">
        <f t="shared" si="419"/>
        <v>1</v>
      </c>
      <c r="V55" s="270"/>
      <c r="W55" s="270">
        <f t="shared" si="419"/>
        <v>1</v>
      </c>
      <c r="X55" s="270">
        <f t="shared" si="419"/>
        <v>1</v>
      </c>
      <c r="Y55" s="270"/>
      <c r="Z55" s="270">
        <f t="shared" si="419"/>
        <v>1</v>
      </c>
      <c r="AA55" s="270">
        <f t="shared" si="419"/>
        <v>1</v>
      </c>
      <c r="AB55" s="270"/>
      <c r="AC55" s="270">
        <f t="shared" si="419"/>
        <v>1</v>
      </c>
      <c r="AD55" s="270">
        <f t="shared" si="419"/>
        <v>1</v>
      </c>
      <c r="AE55" s="270"/>
      <c r="AF55" s="270">
        <f t="shared" si="419"/>
        <v>1</v>
      </c>
      <c r="AG55" s="270">
        <f t="shared" si="419"/>
        <v>1</v>
      </c>
      <c r="AH55" s="270"/>
      <c r="AI55" s="270">
        <f t="shared" ref="AI55:AJ55" si="420">AI30/AI$30</f>
        <v>1</v>
      </c>
      <c r="AJ55" s="270">
        <f t="shared" si="420"/>
        <v>1</v>
      </c>
      <c r="AK55" s="270"/>
      <c r="AL55" s="270">
        <f t="shared" ref="AL55:AM55" si="421">AL30/AL$30</f>
        <v>1</v>
      </c>
      <c r="AM55" s="270">
        <f t="shared" si="421"/>
        <v>1</v>
      </c>
      <c r="AN55" s="270"/>
      <c r="AO55" s="315">
        <f t="shared" ref="AO55:AP55" si="422">AO30/AO$30</f>
        <v>1</v>
      </c>
      <c r="AP55" s="315">
        <f t="shared" si="422"/>
        <v>1</v>
      </c>
      <c r="AQ55" s="313"/>
      <c r="AR55" s="315">
        <f t="shared" ref="AR55:AS55" si="423">AR30/AR$30</f>
        <v>1</v>
      </c>
      <c r="AS55" s="315">
        <f t="shared" si="423"/>
        <v>1</v>
      </c>
      <c r="AT55" s="313"/>
      <c r="AU55" s="315">
        <f t="shared" ref="AU55:AV55" si="424">AU30/AU$30</f>
        <v>1</v>
      </c>
      <c r="AV55" s="315">
        <f t="shared" si="424"/>
        <v>1</v>
      </c>
      <c r="AW55" s="313"/>
      <c r="AX55" s="315">
        <f t="shared" ref="AX55:AY55" si="425">AX30/AX$30</f>
        <v>1</v>
      </c>
      <c r="AY55" s="315">
        <f t="shared" si="425"/>
        <v>1</v>
      </c>
      <c r="AZ55" s="313"/>
      <c r="BA55" s="315">
        <f t="shared" ref="BA55:BB55" si="426">BA30/BA$30</f>
        <v>1</v>
      </c>
      <c r="BB55" s="315">
        <f t="shared" si="426"/>
        <v>1</v>
      </c>
      <c r="BC55" s="313"/>
      <c r="BD55" s="315">
        <f t="shared" si="264"/>
        <v>1</v>
      </c>
      <c r="BE55" s="315">
        <f t="shared" si="264"/>
        <v>1</v>
      </c>
      <c r="BF55" s="313"/>
      <c r="BG55" s="313">
        <f t="shared" si="195"/>
        <v>1</v>
      </c>
      <c r="BH55" s="313">
        <f t="shared" si="188"/>
        <v>1</v>
      </c>
      <c r="BI55" s="313"/>
      <c r="CE55" s="167" t="s">
        <v>45</v>
      </c>
      <c r="CF55" s="253">
        <f>SUM(CF35:CF54)</f>
        <v>1.664255864489887</v>
      </c>
      <c r="CG55" s="253">
        <f t="shared" ref="CG55:DK55" si="427">SUM(CG35:CG54)</f>
        <v>1.6623999999999999</v>
      </c>
      <c r="CH55" s="253">
        <f t="shared" si="427"/>
        <v>3.706831714196178</v>
      </c>
      <c r="CI55" s="253">
        <f t="shared" si="427"/>
        <v>3.8621700879765402</v>
      </c>
      <c r="CJ55" s="253">
        <f t="shared" si="427"/>
        <v>2.5998325317134521</v>
      </c>
      <c r="CK55" s="253">
        <f t="shared" si="427"/>
        <v>2.6937510156007329</v>
      </c>
      <c r="CL55" s="253">
        <f t="shared" ref="CL55:CM55" si="428">SUM(CL35:CL54)</f>
        <v>2.04257584970629</v>
      </c>
      <c r="CM55" s="253">
        <f t="shared" si="428"/>
        <v>2.1997700879765398</v>
      </c>
      <c r="CN55" s="253">
        <f t="shared" si="427"/>
        <v>3.2207704285424139</v>
      </c>
      <c r="CO55" s="253">
        <f t="shared" si="427"/>
        <v>3.753424657534246</v>
      </c>
      <c r="CP55" s="253">
        <f t="shared" si="427"/>
        <v>2.9298524299560293</v>
      </c>
      <c r="CQ55" s="253">
        <f t="shared" si="427"/>
        <v>3.2234636871508386</v>
      </c>
      <c r="CR55" s="253">
        <f t="shared" si="427"/>
        <v>2.3980001098840722</v>
      </c>
      <c r="CS55" s="253">
        <f t="shared" si="427"/>
        <v>2.3743589743589739</v>
      </c>
      <c r="CT55" s="253">
        <f t="shared" si="427"/>
        <v>3.588568223536611</v>
      </c>
      <c r="CU55" s="253">
        <f t="shared" si="427"/>
        <v>3.3217391304347839</v>
      </c>
      <c r="CV55" s="253">
        <f t="shared" si="427"/>
        <v>1.664255864489887</v>
      </c>
      <c r="CW55" s="253">
        <f t="shared" si="427"/>
        <v>1.6623999999999999</v>
      </c>
      <c r="CX55" s="253">
        <f t="shared" si="427"/>
        <v>3.7068317141961771</v>
      </c>
      <c r="CY55" s="253">
        <f t="shared" si="427"/>
        <v>3.8621700879765397</v>
      </c>
      <c r="CZ55" s="253">
        <f t="shared" si="427"/>
        <v>2.0265739021264353</v>
      </c>
      <c r="DA55" s="253">
        <f t="shared" si="427"/>
        <v>2.0757097791798107</v>
      </c>
      <c r="DB55" s="253">
        <f t="shared" si="427"/>
        <v>3.3073152478952288</v>
      </c>
      <c r="DC55" s="253">
        <f t="shared" si="427"/>
        <v>3.742647058823529</v>
      </c>
      <c r="DD55" s="253">
        <f t="shared" si="427"/>
        <v>2.3383925172098006</v>
      </c>
      <c r="DE55" s="253">
        <f t="shared" si="427"/>
        <v>2.4355828220858902</v>
      </c>
      <c r="DF55" s="253">
        <f t="shared" si="427"/>
        <v>3.3374416656694974</v>
      </c>
      <c r="DG55" s="253">
        <f t="shared" si="427"/>
        <v>3.0149253731343277</v>
      </c>
      <c r="DH55" s="253">
        <f t="shared" si="427"/>
        <v>5.2940448530154569</v>
      </c>
      <c r="DI55" s="253">
        <f t="shared" si="427"/>
        <v>5.3111111111111118</v>
      </c>
      <c r="DJ55" s="253">
        <f t="shared" si="427"/>
        <v>2.2375577812018488</v>
      </c>
      <c r="DK55" s="253">
        <f t="shared" si="427"/>
        <v>2.3342939481268012</v>
      </c>
      <c r="DL55" s="253"/>
      <c r="DM55" s="253"/>
      <c r="DN55" s="253">
        <f t="shared" ref="DN55:DO55" si="429">SUM(DN35:DN54)</f>
        <v>2.4823589337257337</v>
      </c>
      <c r="DO55" s="253">
        <f t="shared" si="429"/>
        <v>2.7070707070707067</v>
      </c>
      <c r="DP55" s="253">
        <f t="shared" ref="DP55:DS55" si="430">SUM(DP35:DP54)</f>
        <v>1.9148370096360776</v>
      </c>
      <c r="DQ55" s="253">
        <f t="shared" si="430"/>
        <v>2.0674603174603177</v>
      </c>
      <c r="DR55" s="253">
        <f t="shared" si="430"/>
        <v>2.0561059430620152</v>
      </c>
      <c r="DS55" s="253">
        <f t="shared" si="430"/>
        <v>1.8837459634015068</v>
      </c>
      <c r="DT55" s="253">
        <f t="shared" ref="DT55:DU55" si="431">SUM(DT35:DT54)</f>
        <v>2.3176832556765659</v>
      </c>
      <c r="DU55" s="253">
        <f t="shared" si="431"/>
        <v>2.4293785310734464</v>
      </c>
      <c r="DV55" s="253">
        <f t="shared" ref="DV55:DW55" si="432">SUM(DV35:DV54)</f>
        <v>1.319881632971259</v>
      </c>
      <c r="DW55" s="253">
        <f t="shared" si="432"/>
        <v>1.3733528550512446</v>
      </c>
    </row>
    <row r="56" spans="1:163" hidden="1" outlineLevel="1" x14ac:dyDescent="0.25">
      <c r="W56" s="20"/>
      <c r="AD56" s="20"/>
      <c r="AE56" s="20"/>
      <c r="CE56" s="166" t="s">
        <v>278</v>
      </c>
      <c r="CF56" s="385">
        <f>_xlfn.STDEV.P(CF35:CF54)</f>
        <v>0.11488268014841703</v>
      </c>
      <c r="CG56" s="385">
        <f t="shared" ref="CG56:DK56" si="433">_xlfn.STDEV.P(CG35:CG54)</f>
        <v>0.11283370318798472</v>
      </c>
      <c r="CH56" s="385">
        <f t="shared" si="433"/>
        <v>0.1586673384790741</v>
      </c>
      <c r="CI56" s="385">
        <f t="shared" si="433"/>
        <v>0.15762163655876735</v>
      </c>
      <c r="CJ56" s="385">
        <f t="shared" si="433"/>
        <v>0.13537162326803701</v>
      </c>
      <c r="CK56" s="385">
        <f t="shared" si="433"/>
        <v>0.14308397171899825</v>
      </c>
      <c r="CL56" s="385">
        <f t="shared" ref="CL56:CM56" si="434">_xlfn.STDEV.P(CL35:CL54)</f>
        <v>9.3717209800671677E-2</v>
      </c>
      <c r="CM56" s="385">
        <f t="shared" si="434"/>
        <v>0.10356325057699942</v>
      </c>
      <c r="CN56" s="385">
        <f t="shared" si="433"/>
        <v>0.12466624402317973</v>
      </c>
      <c r="CO56" s="385">
        <f t="shared" si="433"/>
        <v>0.13991351382772266</v>
      </c>
      <c r="CP56" s="385">
        <f t="shared" si="433"/>
        <v>0.11026455452307622</v>
      </c>
      <c r="CQ56" s="385">
        <f t="shared" si="433"/>
        <v>0.12015369501343491</v>
      </c>
      <c r="CR56" s="385">
        <f t="shared" si="433"/>
        <v>9.5636951842573037E-2</v>
      </c>
      <c r="CS56" s="385">
        <f t="shared" si="433"/>
        <v>0.10699031417738196</v>
      </c>
      <c r="CT56" s="385">
        <f t="shared" si="433"/>
        <v>0.19867551856428031</v>
      </c>
      <c r="CU56" s="385">
        <f t="shared" si="433"/>
        <v>0.19163224696947781</v>
      </c>
      <c r="CV56" s="385">
        <f t="shared" si="433"/>
        <v>0.11606768642022185</v>
      </c>
      <c r="CW56" s="385">
        <f t="shared" si="433"/>
        <v>0.11405215356530445</v>
      </c>
      <c r="CX56" s="385">
        <f t="shared" si="433"/>
        <v>0.17732073300522386</v>
      </c>
      <c r="CY56" s="385">
        <f t="shared" si="433"/>
        <v>0.1940455098389828</v>
      </c>
      <c r="CZ56" s="385">
        <f t="shared" si="433"/>
        <v>0.14708664506235813</v>
      </c>
      <c r="DA56" s="385">
        <f t="shared" si="433"/>
        <v>0.15087018255178186</v>
      </c>
      <c r="DB56" s="385">
        <f t="shared" si="433"/>
        <v>0.17567093304321629</v>
      </c>
      <c r="DC56" s="385">
        <f t="shared" si="433"/>
        <v>0.21470341400100323</v>
      </c>
      <c r="DD56" s="385">
        <f t="shared" si="433"/>
        <v>0.15123306776146814</v>
      </c>
      <c r="DE56" s="385">
        <f t="shared" si="433"/>
        <v>0.16062294985721087</v>
      </c>
      <c r="DF56" s="385">
        <f t="shared" si="433"/>
        <v>0.24551251396459128</v>
      </c>
      <c r="DG56" s="385">
        <f t="shared" si="433"/>
        <v>0.20817847179216453</v>
      </c>
      <c r="DH56" s="385">
        <f t="shared" si="433"/>
        <v>0.38227844867785343</v>
      </c>
      <c r="DI56" s="385">
        <f t="shared" si="433"/>
        <v>0.39429394232726822</v>
      </c>
      <c r="DJ56" s="385">
        <f t="shared" si="433"/>
        <v>0.18393559005485638</v>
      </c>
      <c r="DK56" s="385">
        <f t="shared" si="433"/>
        <v>0.19561176967795843</v>
      </c>
      <c r="DL56" s="385"/>
      <c r="DM56" s="385"/>
      <c r="DN56" s="385">
        <f t="shared" ref="DN56:DO56" si="435">_xlfn.STDEV.P(DN35:DN54)</f>
        <v>0.15736936899320556</v>
      </c>
      <c r="DO56" s="385">
        <f t="shared" si="435"/>
        <v>0.17797671486912359</v>
      </c>
      <c r="DP56" s="385">
        <f t="shared" ref="DP56:DS56" si="436">_xlfn.STDEV.P(DP35:DP54)</f>
        <v>0.10808312005382299</v>
      </c>
      <c r="DQ56" s="385">
        <f t="shared" si="436"/>
        <v>0.11947156551429891</v>
      </c>
      <c r="DR56" s="385">
        <f t="shared" si="436"/>
        <v>0.11669675654862049</v>
      </c>
      <c r="DS56" s="385">
        <f t="shared" si="436"/>
        <v>0.10951161526264507</v>
      </c>
      <c r="DT56" s="385">
        <f t="shared" ref="DT56:DU56" si="437">_xlfn.STDEV.P(DT35:DT54)</f>
        <v>0.17378852808970477</v>
      </c>
      <c r="DU56" s="385">
        <f t="shared" si="437"/>
        <v>0.18928611448293689</v>
      </c>
      <c r="DV56" s="385">
        <f t="shared" ref="DV56:DW56" si="438">_xlfn.STDEV.P(DV35:DV54)</f>
        <v>5.2185402695476162E-2</v>
      </c>
      <c r="DW56" s="385">
        <f t="shared" si="438"/>
        <v>5.1168915324094011E-2</v>
      </c>
    </row>
    <row r="57" spans="1:163" hidden="1" outlineLevel="1" x14ac:dyDescent="0.25">
      <c r="A57" s="325" t="s">
        <v>183</v>
      </c>
      <c r="W57" s="20"/>
      <c r="AD57" s="20"/>
      <c r="AE57" s="20"/>
      <c r="AL57" s="1005" t="s">
        <v>315</v>
      </c>
      <c r="AM57" s="1005"/>
      <c r="AN57" s="1005"/>
      <c r="AO57" s="991"/>
      <c r="AP57" s="991"/>
      <c r="AQ57" s="353"/>
      <c r="AR57" s="991"/>
      <c r="AS57" s="991"/>
      <c r="AT57" s="353"/>
      <c r="AU57" s="991"/>
      <c r="AV57" s="991"/>
      <c r="AW57" s="353"/>
      <c r="AX57" s="991" t="s">
        <v>201</v>
      </c>
      <c r="AY57" s="991"/>
      <c r="AZ57" s="353"/>
      <c r="BA57" s="991" t="s">
        <v>201</v>
      </c>
      <c r="BB57" s="991"/>
      <c r="BC57" s="353"/>
      <c r="BD57" s="991" t="s">
        <v>201</v>
      </c>
      <c r="BE57" s="991"/>
      <c r="BF57" s="353"/>
    </row>
    <row r="58" spans="1:163" hidden="1" outlineLevel="1" x14ac:dyDescent="0.25">
      <c r="A58" s="234" t="s">
        <v>24</v>
      </c>
      <c r="B58" s="273" t="str">
        <f>Tabelle3[[#Headers],[Ned (€)]]</f>
        <v>Ned (€)</v>
      </c>
      <c r="C58" s="274" t="str">
        <f>C$8</f>
        <v>Ned (Backer)</v>
      </c>
      <c r="D58" s="337" t="str">
        <f t="shared" ref="D58:BF58" si="439">D$8</f>
        <v>Ned (€/B)</v>
      </c>
      <c r="E58" s="276" t="str">
        <f t="shared" si="439"/>
        <v>Werkzeuge (€)</v>
      </c>
      <c r="F58" s="277" t="str">
        <f t="shared" si="439"/>
        <v>Werkzeuge (Backer)</v>
      </c>
      <c r="G58" s="373" t="str">
        <f t="shared" si="439"/>
        <v>Werkz (€/B)</v>
      </c>
      <c r="H58" s="280" t="str">
        <f t="shared" si="439"/>
        <v>DSK Fasar (€)</v>
      </c>
      <c r="I58" s="281" t="str">
        <f t="shared" si="439"/>
        <v>DSK Fasar (Backer)</v>
      </c>
      <c r="J58" s="282" t="str">
        <f t="shared" si="439"/>
        <v>DSK Fasar (€/B)</v>
      </c>
      <c r="K58" s="273" t="str">
        <f t="shared" si="439"/>
        <v>Mythen (€)</v>
      </c>
      <c r="L58" s="274" t="str">
        <f t="shared" si="439"/>
        <v>Mythen (Backer)</v>
      </c>
      <c r="M58" s="274" t="str">
        <f t="shared" si="439"/>
        <v>Mythen (€/B)</v>
      </c>
      <c r="N58" s="278" t="str">
        <f t="shared" si="439"/>
        <v>SOK (€)</v>
      </c>
      <c r="O58" s="279" t="str">
        <f t="shared" si="439"/>
        <v>SOK (Backer)</v>
      </c>
      <c r="P58" s="279" t="str">
        <f t="shared" si="439"/>
        <v>SOK (€/B)</v>
      </c>
      <c r="Q58" s="275" t="str">
        <f t="shared" si="439"/>
        <v>RE (€)</v>
      </c>
      <c r="R58" s="275" t="str">
        <f t="shared" si="439"/>
        <v>RE (Backer)</v>
      </c>
      <c r="S58" s="275" t="str">
        <f t="shared" si="439"/>
        <v>RE (€/B)</v>
      </c>
      <c r="T58" s="275" t="str">
        <f t="shared" si="439"/>
        <v>DGG (€)</v>
      </c>
      <c r="U58" s="275" t="str">
        <f t="shared" si="439"/>
        <v>DGG (Backer)</v>
      </c>
      <c r="V58" s="275" t="str">
        <f t="shared" si="439"/>
        <v>DGG (€/B)</v>
      </c>
      <c r="W58" s="280" t="str">
        <f t="shared" si="439"/>
        <v>DSK SV (€)</v>
      </c>
      <c r="X58" s="281" t="str">
        <f t="shared" si="439"/>
        <v>DSK SV (Backer)</v>
      </c>
      <c r="Y58" s="282" t="str">
        <f t="shared" si="439"/>
        <v>DSK SV (€/B)</v>
      </c>
      <c r="Z58" s="278" t="str">
        <f t="shared" si="439"/>
        <v>WW (€)</v>
      </c>
      <c r="AA58" s="279" t="str">
        <f t="shared" si="439"/>
        <v>WW (Backer)</v>
      </c>
      <c r="AB58" s="279" t="str">
        <f t="shared" si="439"/>
        <v>WW (€/B)</v>
      </c>
      <c r="AC58" s="280" t="str">
        <f t="shared" si="439"/>
        <v>DSK R (€)</v>
      </c>
      <c r="AD58" s="281" t="str">
        <f t="shared" si="439"/>
        <v>DSK R (Backer)</v>
      </c>
      <c r="AE58" s="282" t="str">
        <f t="shared" si="439"/>
        <v>DSK R (€/B)</v>
      </c>
      <c r="AF58" s="275" t="str">
        <f t="shared" si="439"/>
        <v>Ära (€)</v>
      </c>
      <c r="AG58" s="275" t="str">
        <f t="shared" si="439"/>
        <v>Ära (Backer)</v>
      </c>
      <c r="AH58" s="275" t="str">
        <f t="shared" si="439"/>
        <v>Ära (€/B)</v>
      </c>
      <c r="AI58" s="275" t="str">
        <f t="shared" si="439"/>
        <v>Mosaik (€)</v>
      </c>
      <c r="AJ58" s="275" t="str">
        <f t="shared" si="439"/>
        <v>Mosaik (Backer)</v>
      </c>
      <c r="AK58" s="275" t="str">
        <f t="shared" si="439"/>
        <v>Mosaik (€/B)</v>
      </c>
      <c r="AL58" s="280" t="str">
        <f t="shared" si="439"/>
        <v>DSK ES (€)</v>
      </c>
      <c r="AM58" s="281" t="str">
        <f t="shared" si="439"/>
        <v>DSK ES (Backer)</v>
      </c>
      <c r="AN58" s="282" t="str">
        <f t="shared" si="439"/>
        <v>DSK ES (€/B)</v>
      </c>
      <c r="AO58" s="278" t="str">
        <f t="shared" si="439"/>
        <v>ES (€)</v>
      </c>
      <c r="AP58" s="279" t="str">
        <f t="shared" si="439"/>
        <v>ES (Backer)</v>
      </c>
      <c r="AQ58" s="389" t="str">
        <f t="shared" si="439"/>
        <v>ES (€/B)</v>
      </c>
      <c r="AR58" s="278" t="str">
        <f t="shared" si="439"/>
        <v>WF (€)</v>
      </c>
      <c r="AS58" s="279" t="str">
        <f t="shared" si="439"/>
        <v>WF(Backer)</v>
      </c>
      <c r="AT58" s="389" t="str">
        <f t="shared" si="439"/>
        <v>WF (€/B)</v>
      </c>
      <c r="AU58" s="653" t="str">
        <f t="shared" si="439"/>
        <v>AKM (€)</v>
      </c>
      <c r="AV58" s="274" t="str">
        <f t="shared" si="439"/>
        <v>AKM(Backer)</v>
      </c>
      <c r="AW58" s="274" t="str">
        <f t="shared" si="439"/>
        <v>AKM (€/B)</v>
      </c>
      <c r="AX58" s="275" t="str">
        <f t="shared" si="439"/>
        <v>Lex (€)</v>
      </c>
      <c r="AY58" s="275" t="str">
        <f t="shared" si="439"/>
        <v>Lex(Backer)</v>
      </c>
      <c r="AZ58" s="654" t="str">
        <f t="shared" si="439"/>
        <v>Lex(€/B)</v>
      </c>
      <c r="BA58" s="275" t="str">
        <f t="shared" si="439"/>
        <v>KA (€)</v>
      </c>
      <c r="BB58" s="275" t="str">
        <f t="shared" si="439"/>
        <v>KA (Backer)</v>
      </c>
      <c r="BC58" s="654" t="str">
        <f t="shared" si="439"/>
        <v>KA (€/B)</v>
      </c>
      <c r="BD58" s="805" t="str">
        <f t="shared" si="439"/>
        <v>MAR (€)</v>
      </c>
      <c r="BE58" s="805" t="str">
        <f t="shared" si="439"/>
        <v>MAR (Backer)</v>
      </c>
      <c r="BF58" s="806" t="str">
        <f t="shared" si="439"/>
        <v>MAR (€/B)</v>
      </c>
      <c r="BG58" s="1006" t="s">
        <v>202</v>
      </c>
      <c r="BH58" s="1006"/>
      <c r="BI58" s="1006"/>
      <c r="BJ58" s="1006"/>
      <c r="CE58" s="167"/>
      <c r="CF58" s="166"/>
      <c r="CG58" s="166"/>
      <c r="CH58" s="166"/>
      <c r="CI58" s="166"/>
      <c r="CJ58" s="166"/>
      <c r="CK58" s="166"/>
      <c r="CL58" s="166"/>
      <c r="CM58" s="166"/>
      <c r="CN58" s="166"/>
      <c r="CO58" s="166"/>
      <c r="CP58" s="166"/>
      <c r="CQ58" s="166"/>
      <c r="CR58" s="166"/>
      <c r="CS58" s="166"/>
      <c r="CT58" s="166"/>
      <c r="CU58" s="166"/>
      <c r="CV58" s="166"/>
      <c r="CW58" s="166"/>
      <c r="CX58" s="166"/>
      <c r="CY58" s="166"/>
      <c r="CZ58" s="166"/>
      <c r="DA58" s="166"/>
      <c r="DB58" s="166"/>
      <c r="DC58" s="166"/>
      <c r="DD58" s="166"/>
      <c r="DE58" s="166"/>
      <c r="DF58" s="166"/>
      <c r="DG58" s="166"/>
      <c r="DH58" s="166"/>
      <c r="DI58" s="166"/>
      <c r="DJ58" s="166"/>
      <c r="DK58" s="166"/>
      <c r="DL58" s="166"/>
      <c r="DM58" s="166"/>
      <c r="DN58" s="166"/>
      <c r="DO58" s="166"/>
      <c r="DP58" s="166"/>
      <c r="DQ58" s="166"/>
      <c r="DR58" s="166"/>
      <c r="DS58" s="166"/>
      <c r="DT58" s="166"/>
      <c r="DU58" s="166"/>
      <c r="DV58" s="166"/>
      <c r="DW58" s="166"/>
      <c r="DX58" s="166"/>
      <c r="DY58" s="166"/>
      <c r="DZ58" s="166"/>
      <c r="EA58" s="166"/>
      <c r="EB58" s="166"/>
      <c r="EC58" s="166"/>
      <c r="ED58" s="166"/>
      <c r="EE58" s="166"/>
      <c r="EF58" s="166"/>
      <c r="EG58" s="166"/>
      <c r="EH58" s="166"/>
      <c r="EI58" s="166"/>
      <c r="EJ58" s="166"/>
      <c r="EK58" s="166"/>
      <c r="EL58" s="166"/>
      <c r="FB58" s="166"/>
      <c r="FC58" s="166"/>
      <c r="FD58" s="166"/>
      <c r="FE58" s="166"/>
      <c r="FF58" s="166"/>
      <c r="FG58" s="166"/>
    </row>
    <row r="59" spans="1:163" hidden="1" outlineLevel="1" x14ac:dyDescent="0.25">
      <c r="A59" s="333">
        <v>1</v>
      </c>
      <c r="B59" s="270">
        <f>B35-B34</f>
        <v>0.23692357045472773</v>
      </c>
      <c r="C59" s="270">
        <f t="shared" ref="C59:AG59" si="440">C35-C34</f>
        <v>0.21037463976945245</v>
      </c>
      <c r="D59" s="338"/>
      <c r="E59" s="270">
        <f t="shared" si="440"/>
        <v>0.25446248118054376</v>
      </c>
      <c r="F59" s="270">
        <f t="shared" si="440"/>
        <v>0.23677248677248677</v>
      </c>
      <c r="G59" s="338"/>
      <c r="H59" s="270">
        <f t="shared" si="440"/>
        <v>0.29429074975342379</v>
      </c>
      <c r="I59" s="270">
        <f t="shared" si="440"/>
        <v>0.29635258358662614</v>
      </c>
      <c r="J59" s="270"/>
      <c r="K59" s="270">
        <f t="shared" si="440"/>
        <v>0.21793290440155128</v>
      </c>
      <c r="L59" s="270">
        <f t="shared" si="440"/>
        <v>0.23138832997987926</v>
      </c>
      <c r="M59" s="270"/>
      <c r="N59" s="270">
        <f t="shared" si="440"/>
        <v>0.37533932582389773</v>
      </c>
      <c r="O59" s="270">
        <f t="shared" si="440"/>
        <v>0.37560096153846156</v>
      </c>
      <c r="P59" s="270"/>
      <c r="Q59" s="270">
        <f t="shared" si="440"/>
        <v>0.212457139052565</v>
      </c>
      <c r="R59" s="270">
        <f t="shared" si="440"/>
        <v>0.20566948130277443</v>
      </c>
      <c r="S59" s="270"/>
      <c r="T59" s="270">
        <f t="shared" si="440"/>
        <v>0.33040660242838005</v>
      </c>
      <c r="U59" s="270">
        <f t="shared" si="440"/>
        <v>0.32512820512820512</v>
      </c>
      <c r="V59" s="270"/>
      <c r="W59" s="270">
        <f t="shared" si="440"/>
        <v>0.23216317878953724</v>
      </c>
      <c r="X59" s="270">
        <f t="shared" si="440"/>
        <v>0.21085271317829457</v>
      </c>
      <c r="Y59" s="270"/>
      <c r="Z59" s="270">
        <f t="shared" si="440"/>
        <v>0.29954536347804644</v>
      </c>
      <c r="AA59" s="270">
        <f t="shared" si="440"/>
        <v>0.29107142857142859</v>
      </c>
      <c r="AB59" s="270"/>
      <c r="AC59" s="270">
        <f t="shared" si="440"/>
        <v>0.23055065107040387</v>
      </c>
      <c r="AD59" s="270">
        <f t="shared" si="440"/>
        <v>0.24907063197026022</v>
      </c>
      <c r="AE59" s="270"/>
      <c r="AF59" s="270">
        <f t="shared" si="440"/>
        <v>0.15888034218899844</v>
      </c>
      <c r="AG59" s="270">
        <f t="shared" si="440"/>
        <v>0.15845070422535212</v>
      </c>
      <c r="AH59" s="270"/>
      <c r="AI59" s="270">
        <f t="shared" ref="AI59:AJ59" si="441">AI35-AI34</f>
        <v>0.30887479624495817</v>
      </c>
      <c r="AJ59" s="270">
        <f t="shared" si="441"/>
        <v>0.2999135695764909</v>
      </c>
      <c r="AK59" s="270"/>
      <c r="AL59" s="270">
        <f t="shared" ref="AL59:AM59" si="442">AL35-AL34</f>
        <v>0.27545627285356156</v>
      </c>
      <c r="AM59" s="270">
        <f t="shared" si="442"/>
        <v>0.2847058823529412</v>
      </c>
      <c r="AN59" s="270"/>
      <c r="AO59" s="270">
        <f t="shared" ref="AO59:AP59" si="443">AO35-AO34</f>
        <v>0.28716166800477166</v>
      </c>
      <c r="AP59" s="270">
        <f t="shared" si="443"/>
        <v>0.26975476839237056</v>
      </c>
      <c r="AQ59" s="335"/>
      <c r="AR59" s="270">
        <f t="shared" ref="AR59:AS59" si="444">AR35-AR34</f>
        <v>0.34307235591359936</v>
      </c>
      <c r="AS59" s="270">
        <f t="shared" si="444"/>
        <v>0.32600258732212162</v>
      </c>
      <c r="AT59" s="335"/>
      <c r="AU59" s="270">
        <f t="shared" ref="AU59:AV59" si="445">AU35-AU34</f>
        <v>0.32721378729366507</v>
      </c>
      <c r="AV59" s="270">
        <f t="shared" si="445"/>
        <v>0.3467711832773423</v>
      </c>
      <c r="AW59" s="335"/>
      <c r="AX59" s="391"/>
      <c r="AY59" s="391"/>
      <c r="AZ59" s="335"/>
      <c r="BA59" s="269">
        <f t="shared" ref="BA59:BB59" si="446">BA35-BA34</f>
        <v>0.35859951339524071</v>
      </c>
      <c r="BB59" s="269">
        <f t="shared" si="446"/>
        <v>0.33929673041332509</v>
      </c>
      <c r="BC59" s="335"/>
      <c r="BD59" s="269">
        <f t="shared" ref="BD59:BE60" si="447">BD35-BD34</f>
        <v>0.4116889665861746</v>
      </c>
      <c r="BE59" s="269">
        <f t="shared" si="447"/>
        <v>0.40847457627118644</v>
      </c>
      <c r="BF59" s="335"/>
      <c r="BG59" s="752">
        <f>AVERAGE(B59,E59,H59,K59,N59,Q59,T59,W59,Z59,AC59,AI59,AO59,AR59,AU59,BA59)</f>
        <v>0.28726627248568742</v>
      </c>
      <c r="BH59" s="752">
        <f t="shared" ref="BH59:BH60" si="448">AVERAGE(C59,F59,I59,L59,O59,R59,U59,X59,AA59,AD59,AJ59,AP59,AS59,AV59,BB59)</f>
        <v>0.28093468671863459</v>
      </c>
      <c r="BI59" s="313"/>
    </row>
    <row r="60" spans="1:163" hidden="1" outlineLevel="1" x14ac:dyDescent="0.25">
      <c r="A60" s="333">
        <v>2</v>
      </c>
      <c r="B60" s="269">
        <f>B36-B35</f>
        <v>3.1967278851551872E-2</v>
      </c>
      <c r="C60" s="269">
        <f t="shared" ref="C60:AG60" si="449">C36-C35</f>
        <v>2.5936599423631135E-2</v>
      </c>
      <c r="D60" s="339"/>
      <c r="E60" s="269">
        <f t="shared" si="449"/>
        <v>3.5647125675889402E-2</v>
      </c>
      <c r="F60" s="269">
        <f t="shared" si="449"/>
        <v>3.5714285714285726E-2</v>
      </c>
      <c r="G60" s="339"/>
      <c r="H60" s="269">
        <f t="shared" si="449"/>
        <v>5.0584506928387785E-2</v>
      </c>
      <c r="I60" s="269">
        <f t="shared" si="449"/>
        <v>5.7750759878419433E-2</v>
      </c>
      <c r="J60" s="269"/>
      <c r="K60" s="269">
        <f t="shared" si="449"/>
        <v>5.4672133880054652E-2</v>
      </c>
      <c r="L60" s="269">
        <f t="shared" si="449"/>
        <v>6.0362173038229411E-2</v>
      </c>
      <c r="M60" s="269"/>
      <c r="N60" s="269">
        <f t="shared" si="449"/>
        <v>0.10150704584715387</v>
      </c>
      <c r="O60" s="269">
        <f t="shared" si="449"/>
        <v>9.8557692307692291E-2</v>
      </c>
      <c r="P60" s="269"/>
      <c r="Q60" s="269">
        <f t="shared" si="449"/>
        <v>3.4217056288363579E-2</v>
      </c>
      <c r="R60" s="269">
        <f t="shared" si="449"/>
        <v>3.7997587454764781E-2</v>
      </c>
      <c r="S60" s="269"/>
      <c r="T60" s="269">
        <f t="shared" si="449"/>
        <v>0.10254072505725276</v>
      </c>
      <c r="U60" s="269">
        <f t="shared" si="449"/>
        <v>0.10256410256410259</v>
      </c>
      <c r="V60" s="269"/>
      <c r="W60" s="269">
        <f t="shared" si="449"/>
        <v>4.9438377941674716E-2</v>
      </c>
      <c r="X60" s="269">
        <f t="shared" si="449"/>
        <v>5.5813953488372092E-2</v>
      </c>
      <c r="Y60" s="269"/>
      <c r="Z60" s="269">
        <f t="shared" si="449"/>
        <v>7.4622035230477612E-2</v>
      </c>
      <c r="AA60" s="269">
        <f t="shared" si="449"/>
        <v>7.678571428571429E-2</v>
      </c>
      <c r="AB60" s="269"/>
      <c r="AC60" s="269">
        <f t="shared" si="449"/>
        <v>8.4859854336791024E-2</v>
      </c>
      <c r="AD60" s="269">
        <f t="shared" si="449"/>
        <v>8.1784386617100385E-2</v>
      </c>
      <c r="AE60" s="269"/>
      <c r="AF60" s="269">
        <f t="shared" si="449"/>
        <v>6.4308901006745078E-2</v>
      </c>
      <c r="AG60" s="269">
        <f t="shared" si="449"/>
        <v>6.6901408450704219E-2</v>
      </c>
      <c r="AH60" s="269"/>
      <c r="AI60" s="269">
        <f t="shared" ref="AI60:AJ60" si="450">AI36-AI35</f>
        <v>0.11603031637060218</v>
      </c>
      <c r="AJ60" s="269">
        <f t="shared" si="450"/>
        <v>0.11754537597234227</v>
      </c>
      <c r="AK60" s="269"/>
      <c r="AL60" s="392"/>
      <c r="AM60" s="392"/>
      <c r="AN60" s="269"/>
      <c r="AO60" s="269">
        <f t="shared" ref="AO60:AP60" si="451">AO36-AO35</f>
        <v>8.1654742905063915E-2</v>
      </c>
      <c r="AP60" s="269">
        <f t="shared" si="451"/>
        <v>8.1743869209809306E-2</v>
      </c>
      <c r="AQ60" s="350"/>
      <c r="AR60" s="269">
        <f t="shared" ref="AR60:AS60" si="452">AR36-AR35</f>
        <v>7.3705010371144852E-2</v>
      </c>
      <c r="AS60" s="269">
        <f t="shared" si="452"/>
        <v>7.3091849935316922E-2</v>
      </c>
      <c r="AT60" s="350"/>
      <c r="AU60" s="269">
        <f t="shared" ref="AU60:AV60" si="453">AU36-AU35</f>
        <v>5.03088035594218E-2</v>
      </c>
      <c r="AV60" s="269">
        <f t="shared" si="453"/>
        <v>4.9645390070922002E-2</v>
      </c>
      <c r="AW60" s="350"/>
      <c r="AX60" s="269">
        <f t="shared" ref="AX60:AY60" si="454">AX36-AX35</f>
        <v>0.30141515115675882</v>
      </c>
      <c r="AY60" s="269">
        <f t="shared" si="454"/>
        <v>0.29159802306425042</v>
      </c>
      <c r="AZ60" s="350"/>
      <c r="BA60" s="269">
        <f t="shared" ref="BA60:BB60" si="455">BA36-BA35</f>
        <v>7.2456961981573864E-2</v>
      </c>
      <c r="BB60" s="269">
        <f t="shared" si="455"/>
        <v>8.2048118445404106E-2</v>
      </c>
      <c r="BC60" s="350"/>
      <c r="BD60" s="269">
        <f t="shared" si="447"/>
        <v>5.7444972081791834E-2</v>
      </c>
      <c r="BE60" s="269">
        <f t="shared" si="447"/>
        <v>5.8757062146892636E-2</v>
      </c>
      <c r="BF60" s="350"/>
      <c r="BG60" s="752">
        <f t="shared" ref="BG60" si="456">AVERAGE(B60,E60,H60,K60,N60,Q60,T60,W60,Z60,AC60,AI60,AO60,AR60,AU60,BA60)</f>
        <v>6.7614131681693598E-2</v>
      </c>
      <c r="BH60" s="752">
        <f t="shared" si="448"/>
        <v>6.9156123893740443E-2</v>
      </c>
      <c r="BI60" s="313"/>
    </row>
    <row r="61" spans="1:163" ht="15.75" hidden="1" outlineLevel="1" thickBot="1" x14ac:dyDescent="0.3">
      <c r="A61" s="333">
        <v>3</v>
      </c>
      <c r="B61" s="270">
        <f t="shared" ref="B61:AG61" si="457">B37-B36</f>
        <v>1.4596198572459695E-2</v>
      </c>
      <c r="C61" s="270">
        <f t="shared" si="457"/>
        <v>2.3054755043227654E-2</v>
      </c>
      <c r="D61" s="338"/>
      <c r="E61" s="270">
        <f t="shared" si="457"/>
        <v>2.5653042454350017E-2</v>
      </c>
      <c r="F61" s="270">
        <f t="shared" si="457"/>
        <v>2.380952380952378E-2</v>
      </c>
      <c r="G61" s="338"/>
      <c r="H61" s="270">
        <f t="shared" si="457"/>
        <v>2.1132795446828445E-2</v>
      </c>
      <c r="I61" s="270">
        <f t="shared" si="457"/>
        <v>2.2796352583586643E-2</v>
      </c>
      <c r="J61" s="270"/>
      <c r="K61" s="270">
        <f t="shared" si="457"/>
        <v>3.4881265904368242E-2</v>
      </c>
      <c r="L61" s="270">
        <f t="shared" si="457"/>
        <v>3.4205231388329982E-2</v>
      </c>
      <c r="M61" s="270"/>
      <c r="N61" s="270">
        <f t="shared" si="457"/>
        <v>3.5620323159484157E-2</v>
      </c>
      <c r="O61" s="270">
        <f t="shared" si="457"/>
        <v>3.7860576923076872E-2</v>
      </c>
      <c r="P61" s="270"/>
      <c r="Q61" s="270">
        <f t="shared" si="457"/>
        <v>4.8191197596970131E-2</v>
      </c>
      <c r="R61" s="270">
        <f t="shared" si="457"/>
        <v>4.5838359469240059E-2</v>
      </c>
      <c r="S61" s="270"/>
      <c r="T61" s="270">
        <f t="shared" si="457"/>
        <v>4.446700946290455E-2</v>
      </c>
      <c r="U61" s="270">
        <f t="shared" si="457"/>
        <v>4.2051282051282057E-2</v>
      </c>
      <c r="V61" s="270"/>
      <c r="W61" s="270">
        <f t="shared" si="457"/>
        <v>5.0168095697271375E-2</v>
      </c>
      <c r="X61" s="270">
        <f t="shared" si="457"/>
        <v>4.1860465116279055E-2</v>
      </c>
      <c r="Y61" s="270"/>
      <c r="Z61" s="270">
        <f t="shared" si="457"/>
        <v>6.9178726093054088E-2</v>
      </c>
      <c r="AA61" s="270">
        <f t="shared" si="457"/>
        <v>6.7261904761904745E-2</v>
      </c>
      <c r="AB61" s="270"/>
      <c r="AC61" s="270">
        <f t="shared" si="457"/>
        <v>4.7588832487309607E-2</v>
      </c>
      <c r="AD61" s="270">
        <f t="shared" si="457"/>
        <v>4.4609665427509271E-2</v>
      </c>
      <c r="AE61" s="270"/>
      <c r="AF61" s="270">
        <f t="shared" si="457"/>
        <v>3.9591684422134732E-2</v>
      </c>
      <c r="AG61" s="270">
        <f t="shared" si="457"/>
        <v>3.9612676056338031E-2</v>
      </c>
      <c r="AH61" s="270"/>
      <c r="AI61" s="270">
        <f t="shared" ref="AI61:AJ61" si="458">AI37-AI36</f>
        <v>4.3178221709281706E-2</v>
      </c>
      <c r="AJ61" s="270">
        <f t="shared" si="458"/>
        <v>4.5808124459809862E-2</v>
      </c>
      <c r="AK61" s="270"/>
      <c r="AL61" s="391"/>
      <c r="AM61" s="391"/>
      <c r="AN61" s="270"/>
      <c r="AO61" s="269">
        <f t="shared" ref="AO61:AP61" si="459">AO37-AO36</f>
        <v>4.1505091841676722E-2</v>
      </c>
      <c r="AP61" s="269">
        <f t="shared" si="459"/>
        <v>4.3596730245231585E-2</v>
      </c>
      <c r="AQ61" s="335"/>
      <c r="AR61" s="269">
        <f t="shared" ref="AR61:AS61" si="460">AR37-AR36</f>
        <v>4.77877035121545E-2</v>
      </c>
      <c r="AS61" s="269">
        <f t="shared" si="460"/>
        <v>5.1099611901681774E-2</v>
      </c>
      <c r="AT61" s="335"/>
      <c r="AU61" s="269">
        <f t="shared" ref="AU61:AV61" si="461">AU37-AU36</f>
        <v>2.6620633574968022E-2</v>
      </c>
      <c r="AV61" s="269">
        <f t="shared" si="461"/>
        <v>2.6875699888017912E-2</v>
      </c>
      <c r="AW61" s="335"/>
      <c r="AX61" s="269">
        <f t="shared" ref="AX61:AY61" si="462">AX37-AX36</f>
        <v>0.10114951270226386</v>
      </c>
      <c r="AY61" s="269">
        <f t="shared" si="462"/>
        <v>0.10461285008237231</v>
      </c>
      <c r="AZ61" s="335"/>
      <c r="BA61" s="269">
        <f t="shared" ref="BA61:BB61" si="463">BA37-BA36</f>
        <v>4.6304238477441584E-2</v>
      </c>
      <c r="BB61" s="269">
        <f t="shared" si="463"/>
        <v>4.4417026526835268E-2</v>
      </c>
      <c r="BC61" s="335"/>
      <c r="BD61" s="269">
        <f t="shared" ref="BD61:BE61" si="464">BD37-BD36</f>
        <v>4.2504938410645676E-2</v>
      </c>
      <c r="BE61" s="269">
        <f t="shared" si="464"/>
        <v>3.3898305084745728E-2</v>
      </c>
      <c r="BF61" s="335"/>
      <c r="BG61" s="313">
        <f t="shared" ref="BG61:BG79" si="465">AVERAGE(B61,E61,H61,K61,N61,Q61,T61,W61,Z61,AC61,AI61,AO61,AR61,AU61,AX61,BA61)</f>
        <v>4.362643054329917E-2</v>
      </c>
      <c r="BH61" s="313">
        <f t="shared" ref="BH61:BH79" si="466">AVERAGE(C61,F61,I61,L61,O61,R61,U61,X61,AA61,AD61,AJ61,AP61,AS61,AV61,AY61,BB61)</f>
        <v>4.3734884979869298E-2</v>
      </c>
      <c r="BI61" s="313"/>
    </row>
    <row r="62" spans="1:163" ht="15.75" hidden="1" outlineLevel="1" thickBot="1" x14ac:dyDescent="0.3">
      <c r="A62" s="333">
        <v>4</v>
      </c>
      <c r="B62" s="269">
        <f t="shared" ref="B62:AG62" si="467">B38-B37</f>
        <v>1.9360012831822926E-2</v>
      </c>
      <c r="C62" s="269">
        <f t="shared" si="467"/>
        <v>1.4409221902017266E-2</v>
      </c>
      <c r="D62" s="339"/>
      <c r="E62" s="269">
        <f t="shared" si="467"/>
        <v>3.5512387156490022E-2</v>
      </c>
      <c r="F62" s="269">
        <f t="shared" si="467"/>
        <v>3.0423280423280463E-2</v>
      </c>
      <c r="G62" s="339"/>
      <c r="H62" s="269">
        <f t="shared" si="467"/>
        <v>2.1698708102252329E-2</v>
      </c>
      <c r="I62" s="269">
        <f t="shared" si="467"/>
        <v>2.4316109422492405E-2</v>
      </c>
      <c r="J62" s="269"/>
      <c r="K62" s="269">
        <f t="shared" si="467"/>
        <v>2.9480725850362821E-2</v>
      </c>
      <c r="L62" s="269">
        <f t="shared" si="467"/>
        <v>3.2193158953722323E-2</v>
      </c>
      <c r="M62" s="269"/>
      <c r="N62" s="269">
        <f t="shared" si="467"/>
        <v>2.1269298175901508E-2</v>
      </c>
      <c r="O62" s="269">
        <f t="shared" si="467"/>
        <v>2.34375E-2</v>
      </c>
      <c r="P62" s="269"/>
      <c r="Q62" s="269">
        <f t="shared" si="467"/>
        <v>2.2245439902485731E-2</v>
      </c>
      <c r="R62" s="269">
        <f t="shared" si="467"/>
        <v>2.4125452352231569E-2</v>
      </c>
      <c r="S62" s="269"/>
      <c r="T62" s="269">
        <f t="shared" si="467"/>
        <v>2.9542410232035576E-2</v>
      </c>
      <c r="U62" s="269">
        <f t="shared" si="467"/>
        <v>2.8717948717948694E-2</v>
      </c>
      <c r="V62" s="269"/>
      <c r="W62" s="269">
        <f t="shared" si="467"/>
        <v>2.9588317566217548E-2</v>
      </c>
      <c r="X62" s="269">
        <f t="shared" si="467"/>
        <v>2.9457364341085313E-2</v>
      </c>
      <c r="Y62" s="269"/>
      <c r="Z62" s="269">
        <f t="shared" si="467"/>
        <v>4.0075824125017312E-2</v>
      </c>
      <c r="AA62" s="269">
        <f t="shared" si="467"/>
        <v>3.9285714285714257E-2</v>
      </c>
      <c r="AB62" s="269"/>
      <c r="AC62" s="269">
        <f t="shared" si="467"/>
        <v>2.9711984109468126E-2</v>
      </c>
      <c r="AD62" s="269">
        <f t="shared" si="467"/>
        <v>3.3457249070631967E-2</v>
      </c>
      <c r="AE62" s="269"/>
      <c r="AF62" s="269">
        <f t="shared" si="467"/>
        <v>1.7430452734342072E-2</v>
      </c>
      <c r="AG62" s="269">
        <f t="shared" si="467"/>
        <v>1.9366197183098566E-2</v>
      </c>
      <c r="AH62" s="269"/>
      <c r="AI62" s="269">
        <f t="shared" ref="AI62:AJ62" si="468">AI38-AI37</f>
        <v>4.6581079634014255E-2</v>
      </c>
      <c r="AJ62" s="269">
        <f t="shared" si="468"/>
        <v>4.2350907519446868E-2</v>
      </c>
      <c r="AK62" s="269"/>
      <c r="AL62" s="392"/>
      <c r="AM62" s="392"/>
      <c r="AN62" s="269"/>
      <c r="AO62" s="269">
        <f t="shared" ref="AO62:AP62" si="469">AO38-AO37</f>
        <v>2.5834636225048668E-2</v>
      </c>
      <c r="AP62" s="269">
        <f t="shared" si="469"/>
        <v>2.8610354223433221E-2</v>
      </c>
      <c r="AQ62" s="350"/>
      <c r="AR62" s="269">
        <f t="shared" ref="AR62:AS62" si="470">AR38-AR37</f>
        <v>4.0171651658184371E-2</v>
      </c>
      <c r="AS62" s="269">
        <f t="shared" si="470"/>
        <v>4.0750323415265188E-2</v>
      </c>
      <c r="AT62" s="350"/>
      <c r="AU62" s="269">
        <f t="shared" ref="AU62:AV62" si="471">AU38-AU37</f>
        <v>9.0737652121091583E-2</v>
      </c>
      <c r="AV62" s="269">
        <f t="shared" si="471"/>
        <v>9.4811496827174324E-2</v>
      </c>
      <c r="AW62" s="350"/>
      <c r="AX62" s="269">
        <f t="shared" ref="AX62:AY62" si="472">AX38-AX37</f>
        <v>3.8263862055488818E-2</v>
      </c>
      <c r="AY62" s="269">
        <f t="shared" si="472"/>
        <v>3.9538714991762758E-2</v>
      </c>
      <c r="AZ62" s="350"/>
      <c r="BA62" s="269">
        <f t="shared" ref="BA62:BB62" si="473">BA38-BA37</f>
        <v>3.7628669635402678E-2</v>
      </c>
      <c r="BB62" s="269">
        <f t="shared" si="473"/>
        <v>3.5780382479950634E-2</v>
      </c>
      <c r="BC62" s="350"/>
      <c r="BD62" s="269">
        <f t="shared" ref="BD62:BE62" si="474">BD38-BD37</f>
        <v>3.0748253318339414E-2</v>
      </c>
      <c r="BE62" s="269">
        <f t="shared" si="474"/>
        <v>2.8813559322033999E-2</v>
      </c>
      <c r="BF62" s="350"/>
      <c r="BG62" s="314">
        <f t="shared" si="465"/>
        <v>3.4856416211330267E-2</v>
      </c>
      <c r="BH62" s="314">
        <f t="shared" si="466"/>
        <v>3.5104073682884825E-2</v>
      </c>
      <c r="BI62" s="313"/>
      <c r="BJ62" s="21"/>
      <c r="BK62" s="21"/>
      <c r="BL62" s="21"/>
    </row>
    <row r="63" spans="1:163" hidden="1" outlineLevel="1" x14ac:dyDescent="0.25">
      <c r="A63" s="333">
        <v>5</v>
      </c>
      <c r="B63" s="270">
        <f t="shared" ref="B63:AG63" si="475">B39-B38</f>
        <v>4.819953484641909E-2</v>
      </c>
      <c r="C63" s="270">
        <f t="shared" si="475"/>
        <v>4.6109510086455363E-2</v>
      </c>
      <c r="D63" s="338"/>
      <c r="E63" s="270">
        <f t="shared" si="475"/>
        <v>1.8465035354215842E-2</v>
      </c>
      <c r="F63" s="270">
        <f t="shared" si="475"/>
        <v>2.2486772486772444E-2</v>
      </c>
      <c r="G63" s="338"/>
      <c r="H63" s="270">
        <f t="shared" si="475"/>
        <v>2.2685013015991073E-2</v>
      </c>
      <c r="I63" s="270">
        <f t="shared" si="475"/>
        <v>2.4316109422492405E-2</v>
      </c>
      <c r="J63" s="270"/>
      <c r="K63" s="270">
        <f t="shared" si="475"/>
        <v>2.5524774699692165E-2</v>
      </c>
      <c r="L63" s="270">
        <f t="shared" si="475"/>
        <v>2.6156941649899401E-2</v>
      </c>
      <c r="M63" s="270"/>
      <c r="N63" s="270">
        <f t="shared" si="475"/>
        <v>1.5350702911614222E-2</v>
      </c>
      <c r="O63" s="270">
        <f t="shared" si="475"/>
        <v>1.6225961538461564E-2</v>
      </c>
      <c r="P63" s="270"/>
      <c r="Q63" s="270">
        <f t="shared" si="475"/>
        <v>2.0916398425636418E-2</v>
      </c>
      <c r="R63" s="270">
        <f t="shared" si="475"/>
        <v>2.6537997587454787E-2</v>
      </c>
      <c r="S63" s="270"/>
      <c r="T63" s="270">
        <f t="shared" si="475"/>
        <v>1.3148684267381139E-2</v>
      </c>
      <c r="U63" s="270">
        <f t="shared" si="475"/>
        <v>1.1282051282051342E-2</v>
      </c>
      <c r="V63" s="270"/>
      <c r="W63" s="270">
        <f t="shared" si="475"/>
        <v>2.3985127657171645E-2</v>
      </c>
      <c r="X63" s="270">
        <f t="shared" si="475"/>
        <v>2.635658914728678E-2</v>
      </c>
      <c r="Y63" s="270"/>
      <c r="Z63" s="270">
        <f t="shared" si="475"/>
        <v>3.1155701450213458E-2</v>
      </c>
      <c r="AA63" s="270">
        <f t="shared" si="475"/>
        <v>2.9761904761904767E-2</v>
      </c>
      <c r="AB63" s="270"/>
      <c r="AC63" s="270">
        <f t="shared" si="475"/>
        <v>2.1518428602957385E-2</v>
      </c>
      <c r="AD63" s="270">
        <f t="shared" si="475"/>
        <v>2.2304832713754663E-2</v>
      </c>
      <c r="AE63" s="270"/>
      <c r="AF63" s="270">
        <f t="shared" si="475"/>
        <v>2.29396635088015E-2</v>
      </c>
      <c r="AG63" s="270">
        <f t="shared" si="475"/>
        <v>2.4647887323943685E-2</v>
      </c>
      <c r="AH63" s="270"/>
      <c r="AI63" s="270">
        <f t="shared" ref="AI63:AJ63" si="476">AI39-AI38</f>
        <v>2.0345758920603974E-2</v>
      </c>
      <c r="AJ63" s="270">
        <f t="shared" si="476"/>
        <v>2.2471910112359494E-2</v>
      </c>
      <c r="AK63" s="270"/>
      <c r="AL63" s="391"/>
      <c r="AM63" s="391"/>
      <c r="AN63" s="270"/>
      <c r="AO63" s="269">
        <f t="shared" ref="AO63:AP63" si="477">AO39-AO38</f>
        <v>2.414439832406412E-2</v>
      </c>
      <c r="AP63" s="269">
        <f t="shared" si="477"/>
        <v>2.6566757493188042E-2</v>
      </c>
      <c r="AQ63" s="335"/>
      <c r="AR63" s="269">
        <f t="shared" ref="AR63:AS63" si="478">AR39-AR38</f>
        <v>1.7954887420301269E-2</v>
      </c>
      <c r="AS63" s="269">
        <f t="shared" si="478"/>
        <v>2.0051746442432128E-2</v>
      </c>
      <c r="AT63" s="335"/>
      <c r="AU63" s="269">
        <f t="shared" ref="AU63:AV63" si="479">AU39-AU38</f>
        <v>4.1199359002672353E-2</v>
      </c>
      <c r="AV63" s="269">
        <f t="shared" si="479"/>
        <v>4.5912653975363926E-2</v>
      </c>
      <c r="AW63" s="335"/>
      <c r="AX63" s="269">
        <f t="shared" ref="AX63:AY63" si="480">AX39-AX38</f>
        <v>2.1853165681919584E-2</v>
      </c>
      <c r="AY63" s="269">
        <f t="shared" si="480"/>
        <v>2.2240527182866565E-2</v>
      </c>
      <c r="AZ63" s="335"/>
      <c r="BA63" s="269">
        <f t="shared" ref="BA63:BB63" si="481">BA39-BA38</f>
        <v>3.9188479785504549E-2</v>
      </c>
      <c r="BB63" s="269">
        <f t="shared" si="481"/>
        <v>3.6397285626156739E-2</v>
      </c>
      <c r="BC63" s="335"/>
      <c r="BD63" s="269">
        <f t="shared" ref="BD63:BE63" si="482">BD39-BD38</f>
        <v>1.988989954847098E-2</v>
      </c>
      <c r="BE63" s="269">
        <f t="shared" si="482"/>
        <v>1.8644067796610098E-2</v>
      </c>
      <c r="BF63" s="335"/>
      <c r="BG63" s="313">
        <f t="shared" si="465"/>
        <v>2.5352215647897393E-2</v>
      </c>
      <c r="BH63" s="313">
        <f t="shared" si="466"/>
        <v>2.6573721969306276E-2</v>
      </c>
      <c r="BI63" s="313"/>
      <c r="BJ63" s="21"/>
      <c r="BK63" s="21"/>
      <c r="BL63" s="21"/>
    </row>
    <row r="64" spans="1:163" hidden="1" outlineLevel="1" x14ac:dyDescent="0.25">
      <c r="A64" s="833">
        <v>6</v>
      </c>
      <c r="B64" s="269">
        <f t="shared" ref="B64:AG64" si="483">B40-B39</f>
        <v>1.0987248375972425E-2</v>
      </c>
      <c r="C64" s="269">
        <f t="shared" si="483"/>
        <v>1.1527377521613813E-2</v>
      </c>
      <c r="D64" s="339"/>
      <c r="E64" s="269">
        <f t="shared" si="483"/>
        <v>1.1909713475609374E-2</v>
      </c>
      <c r="F64" s="269">
        <f t="shared" si="483"/>
        <v>1.3227513227513255E-2</v>
      </c>
      <c r="G64" s="339"/>
      <c r="H64" s="269">
        <f t="shared" si="483"/>
        <v>2.478697430756549E-2</v>
      </c>
      <c r="I64" s="269">
        <f t="shared" si="483"/>
        <v>2.1276595744680826E-2</v>
      </c>
      <c r="J64" s="269"/>
      <c r="K64" s="269">
        <f t="shared" si="483"/>
        <v>5.4005400540053983E-2</v>
      </c>
      <c r="L64" s="269">
        <f t="shared" si="483"/>
        <v>5.8350100603621724E-2</v>
      </c>
      <c r="M64" s="269"/>
      <c r="N64" s="269">
        <f t="shared" si="483"/>
        <v>1.8065309502796167E-2</v>
      </c>
      <c r="O64" s="269">
        <f t="shared" si="483"/>
        <v>2.1033653846153855E-2</v>
      </c>
      <c r="P64" s="269"/>
      <c r="Q64" s="269">
        <f t="shared" si="483"/>
        <v>4.8539462800922861E-2</v>
      </c>
      <c r="R64" s="269">
        <f t="shared" si="483"/>
        <v>5.3075995174909518E-2</v>
      </c>
      <c r="S64" s="269"/>
      <c r="T64" s="269">
        <f t="shared" si="483"/>
        <v>1.2228319578274194E-2</v>
      </c>
      <c r="U64" s="269">
        <f t="shared" si="483"/>
        <v>1.1282051282051175E-2</v>
      </c>
      <c r="V64" s="269"/>
      <c r="W64" s="269">
        <f t="shared" si="483"/>
        <v>1.0424539365666785E-2</v>
      </c>
      <c r="X64" s="269">
        <f t="shared" si="483"/>
        <v>9.3023255813953765E-3</v>
      </c>
      <c r="Y64" s="269"/>
      <c r="Z64" s="269">
        <f t="shared" si="483"/>
        <v>2.7737451261423685E-2</v>
      </c>
      <c r="AA64" s="269">
        <f t="shared" si="483"/>
        <v>3.214285714285714E-2</v>
      </c>
      <c r="AB64" s="269"/>
      <c r="AC64" s="269">
        <f t="shared" si="483"/>
        <v>3.371220481129994E-2</v>
      </c>
      <c r="AD64" s="269">
        <f t="shared" si="483"/>
        <v>2.6022304832713727E-2</v>
      </c>
      <c r="AE64" s="269"/>
      <c r="AF64" s="269">
        <f t="shared" si="483"/>
        <v>3.9531496394737187E-2</v>
      </c>
      <c r="AG64" s="269">
        <f t="shared" si="483"/>
        <v>3.8732394366197187E-2</v>
      </c>
      <c r="AH64" s="269"/>
      <c r="AI64" s="269">
        <f t="shared" ref="AI64:AJ64" si="484">AI40-AI39</f>
        <v>1.8489654598022542E-2</v>
      </c>
      <c r="AJ64" s="269">
        <f t="shared" si="484"/>
        <v>1.9014693171996555E-2</v>
      </c>
      <c r="AK64" s="269"/>
      <c r="AL64" s="392"/>
      <c r="AM64" s="392"/>
      <c r="AN64" s="269"/>
      <c r="AO64" s="269">
        <f t="shared" ref="AO64:AP64" si="485">AO40-AO39</f>
        <v>2.9627920129758234E-2</v>
      </c>
      <c r="AP64" s="269">
        <f t="shared" si="485"/>
        <v>3.0653950953678455E-2</v>
      </c>
      <c r="AQ64" s="350"/>
      <c r="AR64" s="269">
        <f t="shared" ref="AR64:AS64" si="486">AR40-AR39</f>
        <v>1.7712319002030852E-2</v>
      </c>
      <c r="AS64" s="269">
        <f t="shared" si="486"/>
        <v>2.0051746442432017E-2</v>
      </c>
      <c r="AT64" s="350"/>
      <c r="AU64" s="269">
        <f t="shared" ref="AU64:AV64" si="487">AU40-AU39</f>
        <v>3.0826518502989564E-2</v>
      </c>
      <c r="AV64" s="269">
        <f t="shared" si="487"/>
        <v>3.2474804031354942E-2</v>
      </c>
      <c r="AW64" s="350"/>
      <c r="AX64" s="269">
        <f t="shared" ref="AX64:AY64" si="488">AX40-AX39</f>
        <v>2.7413387624381946E-2</v>
      </c>
      <c r="AY64" s="269">
        <f t="shared" si="488"/>
        <v>2.8830313014827025E-2</v>
      </c>
      <c r="AZ64" s="350"/>
      <c r="BA64" s="269">
        <f t="shared" ref="BA64:BB64" si="489">BA40-BA39</f>
        <v>2.6743603112160064E-2</v>
      </c>
      <c r="BB64" s="269">
        <f t="shared" si="489"/>
        <v>2.776064157927205E-2</v>
      </c>
      <c r="BC64" s="350"/>
      <c r="BD64" s="269">
        <f t="shared" ref="BD64:BE64" si="490">BD40-BD39</f>
        <v>2.4155466062730779E-2</v>
      </c>
      <c r="BE64" s="269">
        <f t="shared" si="490"/>
        <v>2.429378531073445E-2</v>
      </c>
      <c r="BF64" s="350"/>
      <c r="BG64" s="313">
        <f t="shared" si="465"/>
        <v>2.5200626686808007E-2</v>
      </c>
      <c r="BH64" s="313">
        <f t="shared" si="466"/>
        <v>2.6001682759441966E-2</v>
      </c>
      <c r="BI64" s="313"/>
    </row>
    <row r="65" spans="1:61" hidden="1" outlineLevel="1" x14ac:dyDescent="0.25">
      <c r="A65" s="833">
        <v>7</v>
      </c>
      <c r="B65" s="270">
        <f t="shared" ref="B65:AG65" si="491">B41-B40</f>
        <v>2.5808003849546846E-2</v>
      </c>
      <c r="C65" s="270">
        <f t="shared" si="491"/>
        <v>2.5936599423631135E-2</v>
      </c>
      <c r="D65" s="338"/>
      <c r="E65" s="270">
        <f t="shared" si="491"/>
        <v>2.6215429317930194E-2</v>
      </c>
      <c r="F65" s="270">
        <f t="shared" si="491"/>
        <v>2.777777777777779E-2</v>
      </c>
      <c r="G65" s="338"/>
      <c r="H65" s="270">
        <f t="shared" si="491"/>
        <v>1.7397771921030925E-2</v>
      </c>
      <c r="I65" s="270">
        <f t="shared" si="491"/>
        <v>2.1276595744680882E-2</v>
      </c>
      <c r="J65" s="270"/>
      <c r="K65" s="270">
        <f t="shared" si="491"/>
        <v>3.0469713638030471E-2</v>
      </c>
      <c r="L65" s="270">
        <f t="shared" si="491"/>
        <v>3.2193158953722323E-2</v>
      </c>
      <c r="M65" s="270"/>
      <c r="N65" s="270">
        <f t="shared" si="491"/>
        <v>4.8954939203687542E-2</v>
      </c>
      <c r="O65" s="270">
        <f t="shared" si="491"/>
        <v>5.46875E-2</v>
      </c>
      <c r="P65" s="270"/>
      <c r="Q65" s="270">
        <f t="shared" si="491"/>
        <v>3.4657509340421555E-2</v>
      </c>
      <c r="R65" s="270">
        <f t="shared" si="491"/>
        <v>3.4378769601930037E-2</v>
      </c>
      <c r="S65" s="270"/>
      <c r="T65" s="270">
        <f t="shared" si="491"/>
        <v>1.5188177850753992E-2</v>
      </c>
      <c r="U65" s="270">
        <f t="shared" si="491"/>
        <v>1.5384615384615441E-2</v>
      </c>
      <c r="V65" s="270"/>
      <c r="W65" s="270">
        <f t="shared" si="491"/>
        <v>3.8753225091866239E-2</v>
      </c>
      <c r="X65" s="270">
        <f t="shared" si="491"/>
        <v>3.2558139534883734E-2</v>
      </c>
      <c r="Y65" s="270"/>
      <c r="Z65" s="270">
        <f t="shared" si="491"/>
        <v>2.7546349808127979E-2</v>
      </c>
      <c r="AA65" s="270">
        <f t="shared" si="491"/>
        <v>3.0952380952380953E-2</v>
      </c>
      <c r="AB65" s="270"/>
      <c r="AC65" s="270">
        <f t="shared" si="491"/>
        <v>1.3517987199293757E-2</v>
      </c>
      <c r="AD65" s="270">
        <f t="shared" si="491"/>
        <v>1.4869888475836479E-2</v>
      </c>
      <c r="AE65" s="270"/>
      <c r="AF65" s="270">
        <f t="shared" si="491"/>
        <v>3.6297393055906624E-2</v>
      </c>
      <c r="AG65" s="270">
        <f t="shared" si="491"/>
        <v>3.5211267605633811E-2</v>
      </c>
      <c r="AH65" s="270"/>
      <c r="AI65" s="270">
        <f t="shared" ref="AI65:AJ65" si="492">AI41-AI40</f>
        <v>2.441491070472479E-2</v>
      </c>
      <c r="AJ65" s="270">
        <f t="shared" si="492"/>
        <v>2.4200518582541131E-2</v>
      </c>
      <c r="AK65" s="270"/>
      <c r="AL65" s="391"/>
      <c r="AM65" s="391"/>
      <c r="AN65" s="270"/>
      <c r="AO65" s="269">
        <f t="shared" ref="AO65:AP65" si="493">AO41-AO40</f>
        <v>2.2896222643337072E-2</v>
      </c>
      <c r="AP65" s="269">
        <f t="shared" si="493"/>
        <v>2.7247956403269769E-2</v>
      </c>
      <c r="AQ65" s="335"/>
      <c r="AR65" s="269">
        <f t="shared" ref="AR65:AS65" si="494">AR41-AR40</f>
        <v>2.3604807626519508E-2</v>
      </c>
      <c r="AS65" s="269">
        <f t="shared" si="494"/>
        <v>2.1992238033635259E-2</v>
      </c>
      <c r="AT65" s="335"/>
      <c r="AU65" s="269">
        <f t="shared" ref="AU65:AV65" si="495">AU41-AU40</f>
        <v>2.1040538200285397E-2</v>
      </c>
      <c r="AV65" s="269">
        <f t="shared" si="495"/>
        <v>2.2396416573348343E-2</v>
      </c>
      <c r="AW65" s="335"/>
      <c r="AX65" s="269">
        <f t="shared" ref="AX65:AY65" si="496">AX41-AX40</f>
        <v>1.907018269522226E-2</v>
      </c>
      <c r="AY65" s="269">
        <f t="shared" si="496"/>
        <v>1.8945634266886335E-2</v>
      </c>
      <c r="AZ65" s="335"/>
      <c r="BA65" s="269">
        <f t="shared" ref="BA65:BB65" si="497">BA41-BA40</f>
        <v>2.2445023973189815E-2</v>
      </c>
      <c r="BB65" s="269">
        <f t="shared" si="497"/>
        <v>2.344231955582976E-2</v>
      </c>
      <c r="BC65" s="335"/>
      <c r="BD65" s="269">
        <f t="shared" ref="BD65:BE65" si="498">BD41-BD40</f>
        <v>1.3912077359229058E-2</v>
      </c>
      <c r="BE65" s="269">
        <f t="shared" si="498"/>
        <v>1.4689265536723228E-2</v>
      </c>
      <c r="BF65" s="335"/>
      <c r="BG65" s="313">
        <f t="shared" si="465"/>
        <v>2.5748799566498021E-2</v>
      </c>
      <c r="BH65" s="313">
        <f t="shared" si="466"/>
        <v>2.6765031829060586E-2</v>
      </c>
      <c r="BI65" s="313"/>
    </row>
    <row r="66" spans="1:61" hidden="1" outlineLevel="1" x14ac:dyDescent="0.25">
      <c r="A66" s="833">
        <v>8</v>
      </c>
      <c r="B66" s="269">
        <f t="shared" ref="B66:BE66" si="499">B42-B41</f>
        <v>4.0083406848985481E-2</v>
      </c>
      <c r="C66" s="269">
        <f t="shared" si="499"/>
        <v>3.4582132564841495E-2</v>
      </c>
      <c r="D66" s="339"/>
      <c r="E66" s="269">
        <f t="shared" si="499"/>
        <v>1.851190092618088E-2</v>
      </c>
      <c r="F66" s="269">
        <f t="shared" si="499"/>
        <v>1.7195767195767153E-2</v>
      </c>
      <c r="G66" s="339"/>
      <c r="H66" s="269">
        <f t="shared" si="499"/>
        <v>2.2749688748039509E-2</v>
      </c>
      <c r="I66" s="269">
        <f t="shared" si="499"/>
        <v>2.5835866261398166E-2</v>
      </c>
      <c r="J66" s="269"/>
      <c r="K66" s="269">
        <f t="shared" si="499"/>
        <v>3.9370603727039377E-2</v>
      </c>
      <c r="L66" s="269">
        <f t="shared" si="499"/>
        <v>3.4205231388329982E-2</v>
      </c>
      <c r="M66" s="269"/>
      <c r="N66" s="269">
        <f t="shared" si="499"/>
        <v>2.8681136202980628E-2</v>
      </c>
      <c r="O66" s="269">
        <f t="shared" si="499"/>
        <v>2.4038461538461564E-2</v>
      </c>
      <c r="P66" s="269"/>
      <c r="Q66" s="269">
        <f t="shared" si="499"/>
        <v>4.7033727948538717E-2</v>
      </c>
      <c r="R66" s="269">
        <f t="shared" si="499"/>
        <v>5.0060313630880593E-2</v>
      </c>
      <c r="S66" s="269"/>
      <c r="T66" s="269">
        <f t="shared" si="499"/>
        <v>1.4419046796007362E-2</v>
      </c>
      <c r="U66" s="269">
        <f t="shared" si="499"/>
        <v>1.6410256410256396E-2</v>
      </c>
      <c r="V66" s="269"/>
      <c r="W66" s="269">
        <f t="shared" si="499"/>
        <v>3.8770599324142341E-2</v>
      </c>
      <c r="X66" s="269">
        <f t="shared" si="499"/>
        <v>3.8759689922480578E-2</v>
      </c>
      <c r="Y66" s="269"/>
      <c r="Z66" s="269">
        <f t="shared" si="499"/>
        <v>2.5903493766085695E-2</v>
      </c>
      <c r="AA66" s="269">
        <f t="shared" si="499"/>
        <v>2.4404761904761929E-2</v>
      </c>
      <c r="AB66" s="269"/>
      <c r="AC66" s="269">
        <f t="shared" si="499"/>
        <v>2.6070403884352278E-2</v>
      </c>
      <c r="AD66" s="269">
        <f t="shared" si="499"/>
        <v>2.6022304832713727E-2</v>
      </c>
      <c r="AE66" s="269"/>
      <c r="AF66" s="269">
        <f t="shared" si="499"/>
        <v>3.4604103218454474E-2</v>
      </c>
      <c r="AG66" s="269">
        <f t="shared" si="499"/>
        <v>3.6091549295774628E-2</v>
      </c>
      <c r="AH66" s="269"/>
      <c r="AI66" s="269">
        <f t="shared" ref="AI66:AJ66" si="500">AI42-AI41</f>
        <v>2.0976358466096356E-2</v>
      </c>
      <c r="AJ66" s="269">
        <f t="shared" si="500"/>
        <v>2.2471910112359494E-2</v>
      </c>
      <c r="AK66" s="269"/>
      <c r="AL66" s="269">
        <f t="shared" ref="AL66:AM66" si="501">AL42-AL41</f>
        <v>3.2030913184409315E-2</v>
      </c>
      <c r="AM66" s="269">
        <f t="shared" si="501"/>
        <v>3.294117647058814E-2</v>
      </c>
      <c r="AN66" s="269"/>
      <c r="AO66" s="269">
        <f t="shared" ref="AO66:AP66" si="502">AO42-AO41</f>
        <v>2.3926617671437223E-2</v>
      </c>
      <c r="AP66" s="269">
        <f t="shared" si="502"/>
        <v>2.3841961852861027E-2</v>
      </c>
      <c r="AQ66" s="350"/>
      <c r="AR66" s="269">
        <f t="shared" ref="AR66:AS66" si="503">AR42-AR41</f>
        <v>2.375036037316236E-2</v>
      </c>
      <c r="AS66" s="269">
        <f t="shared" si="503"/>
        <v>1.7464424320827954E-2</v>
      </c>
      <c r="AT66" s="350"/>
      <c r="AU66" s="269">
        <f t="shared" ref="AU66:AV66" si="504">AU42-AU41</f>
        <v>2.1680629317921363E-2</v>
      </c>
      <c r="AV66" s="269">
        <f t="shared" si="504"/>
        <v>2.3142963792459836E-2</v>
      </c>
      <c r="AW66" s="350"/>
      <c r="AX66" s="269">
        <f t="shared" ref="AX66:AY66" si="505">AX42-AX41</f>
        <v>3.2358998257088656E-2</v>
      </c>
      <c r="AY66" s="269">
        <f t="shared" si="505"/>
        <v>3.1301482701812211E-2</v>
      </c>
      <c r="AZ66" s="350"/>
      <c r="BA66" s="269">
        <f t="shared" ref="BA66:BB66" si="506">BA42-BA41</f>
        <v>3.0218871328096308E-2</v>
      </c>
      <c r="BB66" s="269">
        <f t="shared" si="506"/>
        <v>3.084515731030224E-2</v>
      </c>
      <c r="BC66" s="350"/>
      <c r="BD66" s="269">
        <f t="shared" si="499"/>
        <v>1.9063917057370428E-2</v>
      </c>
      <c r="BE66" s="269">
        <f t="shared" si="499"/>
        <v>1.8644067796610098E-2</v>
      </c>
      <c r="BF66" s="350"/>
      <c r="BG66" s="313">
        <f t="shared" si="465"/>
        <v>2.8406615224134658E-2</v>
      </c>
      <c r="BH66" s="313">
        <f t="shared" si="466"/>
        <v>2.7536417858782147E-2</v>
      </c>
      <c r="BI66" s="313"/>
    </row>
    <row r="67" spans="1:61" hidden="1" outlineLevel="1" x14ac:dyDescent="0.25">
      <c r="A67" s="833">
        <v>9</v>
      </c>
      <c r="B67" s="270">
        <f t="shared" ref="B67:BE67" si="507">B43-B42</f>
        <v>1.9071296816103978E-2</v>
      </c>
      <c r="C67" s="270">
        <f t="shared" si="507"/>
        <v>1.7291066282420775E-2</v>
      </c>
      <c r="D67" s="338"/>
      <c r="E67" s="270">
        <f t="shared" si="507"/>
        <v>2.2343161434320802E-2</v>
      </c>
      <c r="F67" s="270">
        <f t="shared" si="507"/>
        <v>2.777777777777779E-2</v>
      </c>
      <c r="G67" s="338"/>
      <c r="H67" s="270">
        <f t="shared" si="507"/>
        <v>3.6420521609778933E-2</v>
      </c>
      <c r="I67" s="270">
        <f t="shared" si="507"/>
        <v>3.7993920972644368E-2</v>
      </c>
      <c r="J67" s="270"/>
      <c r="K67" s="270">
        <f t="shared" si="507"/>
        <v>2.4502450245024565E-2</v>
      </c>
      <c r="L67" s="270">
        <f t="shared" si="507"/>
        <v>2.8169014084507005E-2</v>
      </c>
      <c r="M67" s="270"/>
      <c r="N67" s="270">
        <f t="shared" si="507"/>
        <v>1.8772194732241121E-2</v>
      </c>
      <c r="O67" s="270">
        <f t="shared" si="507"/>
        <v>1.6826923076923017E-2</v>
      </c>
      <c r="P67" s="270"/>
      <c r="Q67" s="270">
        <f t="shared" si="507"/>
        <v>3.1092912547022233E-2</v>
      </c>
      <c r="R67" s="270">
        <f t="shared" si="507"/>
        <v>3.5585042219541563E-2</v>
      </c>
      <c r="S67" s="270"/>
      <c r="T67" s="270">
        <f t="shared" si="507"/>
        <v>1.3675841507151287E-2</v>
      </c>
      <c r="U67" s="270">
        <f t="shared" si="507"/>
        <v>1.2307692307692353E-2</v>
      </c>
      <c r="V67" s="270"/>
      <c r="W67" s="270">
        <f t="shared" si="507"/>
        <v>5.1966328737848955E-2</v>
      </c>
      <c r="X67" s="270">
        <f t="shared" si="507"/>
        <v>5.7364341085271386E-2</v>
      </c>
      <c r="Y67" s="270"/>
      <c r="Z67" s="270">
        <f t="shared" si="507"/>
        <v>2.6902152973631077E-2</v>
      </c>
      <c r="AA67" s="270">
        <f t="shared" si="507"/>
        <v>2.7380952380952395E-2</v>
      </c>
      <c r="AB67" s="270"/>
      <c r="AC67" s="270">
        <f t="shared" si="507"/>
        <v>8.5521959832266514E-3</v>
      </c>
      <c r="AD67" s="270">
        <f t="shared" si="507"/>
        <v>1.4869888475836424E-2</v>
      </c>
      <c r="AE67" s="270"/>
      <c r="AF67" s="270">
        <f t="shared" si="507"/>
        <v>4.0430304270541173E-2</v>
      </c>
      <c r="AG67" s="270">
        <f t="shared" si="507"/>
        <v>4.2253521126760563E-2</v>
      </c>
      <c r="AH67" s="270"/>
      <c r="AI67" s="270">
        <f t="shared" ref="AI67:AJ67" si="508">AI43-AI42</f>
        <v>1.5467536021511741E-2</v>
      </c>
      <c r="AJ67" s="270">
        <f t="shared" si="508"/>
        <v>1.5557476231633505E-2</v>
      </c>
      <c r="AK67" s="270"/>
      <c r="AL67" s="270">
        <f t="shared" ref="AL67:AM67" si="509">AL43-AL42</f>
        <v>4.1866926405543903E-2</v>
      </c>
      <c r="AM67" s="270">
        <f t="shared" si="509"/>
        <v>1.4117647058823568E-2</v>
      </c>
      <c r="AN67" s="270"/>
      <c r="AO67" s="270">
        <f t="shared" ref="AO67:AP67" si="510">AO43-AO42</f>
        <v>2.7008051383232257E-2</v>
      </c>
      <c r="AP67" s="270">
        <f t="shared" si="510"/>
        <v>2.7247956403269713E-2</v>
      </c>
      <c r="AQ67" s="335"/>
      <c r="AR67" s="270">
        <f t="shared" ref="AR67:AS67" si="511">AR43-AR42</f>
        <v>1.4907928677399873E-2</v>
      </c>
      <c r="AS67" s="270">
        <f t="shared" si="511"/>
        <v>1.487710219922378E-2</v>
      </c>
      <c r="AT67" s="335"/>
      <c r="AU67" s="270">
        <f t="shared" ref="AU67:AV67" si="512">AU43-AU42</f>
        <v>1.5438180027687265E-2</v>
      </c>
      <c r="AV67" s="270">
        <f t="shared" si="512"/>
        <v>1.6797312430011146E-2</v>
      </c>
      <c r="AW67" s="335"/>
      <c r="AX67" s="270">
        <f t="shared" ref="AX67:AY67" si="513">AX43-AX42</f>
        <v>3.0653021070196851E-2</v>
      </c>
      <c r="AY67" s="270">
        <f t="shared" si="513"/>
        <v>2.8006589785831926E-2</v>
      </c>
      <c r="AZ67" s="335"/>
      <c r="BA67" s="270">
        <f t="shared" ref="BA67:BB67" si="514">BA43-BA42</f>
        <v>1.8154845966087296E-2</v>
      </c>
      <c r="BB67" s="270">
        <f t="shared" si="514"/>
        <v>1.7273288093769268E-2</v>
      </c>
      <c r="BC67" s="335"/>
      <c r="BD67" s="270">
        <f t="shared" si="507"/>
        <v>3.1700846264280158E-2</v>
      </c>
      <c r="BE67" s="270">
        <f t="shared" si="507"/>
        <v>3.672316384180796E-2</v>
      </c>
      <c r="BF67" s="335"/>
      <c r="BG67" s="313">
        <f t="shared" si="465"/>
        <v>2.3433038733279055E-2</v>
      </c>
      <c r="BH67" s="313">
        <f t="shared" si="466"/>
        <v>2.4707896487956651E-2</v>
      </c>
      <c r="BI67" s="313"/>
    </row>
    <row r="68" spans="1:61" hidden="1" outlineLevel="1" x14ac:dyDescent="0.25">
      <c r="A68" s="833">
        <v>10</v>
      </c>
      <c r="B68" s="269">
        <f t="shared" ref="B68:BE68" si="515">B44-B43</f>
        <v>5.9651936803272132E-2</v>
      </c>
      <c r="C68" s="269">
        <f t="shared" si="515"/>
        <v>5.4755043227665667E-2</v>
      </c>
      <c r="D68" s="339"/>
      <c r="E68" s="269">
        <f t="shared" si="515"/>
        <v>2.7709269424315064E-2</v>
      </c>
      <c r="F68" s="269">
        <f t="shared" si="515"/>
        <v>2.777777777777779E-2</v>
      </c>
      <c r="G68" s="339"/>
      <c r="H68" s="269">
        <f t="shared" si="515"/>
        <v>2.7082962795285215E-2</v>
      </c>
      <c r="I68" s="269">
        <f t="shared" si="515"/>
        <v>2.8875379939209744E-2</v>
      </c>
      <c r="J68" s="269"/>
      <c r="K68" s="269">
        <f t="shared" si="515"/>
        <v>3.2025424764698607E-2</v>
      </c>
      <c r="L68" s="269">
        <f t="shared" si="515"/>
        <v>3.0181086519114775E-2</v>
      </c>
      <c r="M68" s="269"/>
      <c r="N68" s="269">
        <f t="shared" si="515"/>
        <v>1.9039890913805979E-2</v>
      </c>
      <c r="O68" s="269">
        <f t="shared" si="515"/>
        <v>1.6826923076923128E-2</v>
      </c>
      <c r="P68" s="269"/>
      <c r="Q68" s="269">
        <f t="shared" si="515"/>
        <v>2.2731986878596289E-2</v>
      </c>
      <c r="R68" s="269">
        <f t="shared" si="515"/>
        <v>2.5331724969843261E-2</v>
      </c>
      <c r="S68" s="269"/>
      <c r="T68" s="269">
        <f t="shared" si="515"/>
        <v>1.5123363436028159E-2</v>
      </c>
      <c r="U68" s="269">
        <f t="shared" si="515"/>
        <v>1.4358974358974375E-2</v>
      </c>
      <c r="V68" s="269"/>
      <c r="W68" s="269">
        <f t="shared" si="515"/>
        <v>1.8625176999991222E-2</v>
      </c>
      <c r="X68" s="269">
        <f t="shared" si="515"/>
        <v>1.8604651162790642E-2</v>
      </c>
      <c r="Y68" s="269"/>
      <c r="Z68" s="269">
        <f t="shared" si="515"/>
        <v>2.1579052814893585E-2</v>
      </c>
      <c r="AA68" s="269">
        <f t="shared" si="515"/>
        <v>1.9642857142857073E-2</v>
      </c>
      <c r="AB68" s="269"/>
      <c r="AC68" s="269">
        <f t="shared" si="515"/>
        <v>1.5118075480026416E-2</v>
      </c>
      <c r="AD68" s="269">
        <f t="shared" si="515"/>
        <v>1.8587360594795599E-2</v>
      </c>
      <c r="AE68" s="269"/>
      <c r="AF68" s="269">
        <f t="shared" si="515"/>
        <v>3.0166239331672118E-2</v>
      </c>
      <c r="AG68" s="269">
        <f t="shared" si="515"/>
        <v>3.5211267605633811E-2</v>
      </c>
      <c r="AH68" s="269"/>
      <c r="AI68" s="269">
        <f t="shared" ref="AI68:AJ68" si="516">AI44-AI43</f>
        <v>2.4057967565766725E-2</v>
      </c>
      <c r="AJ68" s="269">
        <f t="shared" si="516"/>
        <v>1.9014693171996555E-2</v>
      </c>
      <c r="AK68" s="269"/>
      <c r="AL68" s="269">
        <f t="shared" ref="AL68:AM68" si="517">AL44-AL43</f>
        <v>2.3472304277707745E-2</v>
      </c>
      <c r="AM68" s="269">
        <f t="shared" si="517"/>
        <v>2.352941176470591E-2</v>
      </c>
      <c r="AN68" s="269"/>
      <c r="AO68" s="269">
        <f t="shared" ref="AO68:AP68" si="518">AO44-AO43</f>
        <v>2.3061995975933614E-2</v>
      </c>
      <c r="AP68" s="269">
        <f t="shared" si="518"/>
        <v>2.520435967302459E-2</v>
      </c>
      <c r="AQ68" s="350"/>
      <c r="AR68" s="269">
        <f t="shared" ref="AR68:AS68" si="519">AR44-AR43</f>
        <v>3.3319649386883254E-2</v>
      </c>
      <c r="AS68" s="269">
        <f t="shared" si="519"/>
        <v>3.363518758085382E-2</v>
      </c>
      <c r="AT68" s="350"/>
      <c r="AU68" s="269">
        <f t="shared" ref="AU68:AV68" si="520">AU44-AU43</f>
        <v>9.339796727811045E-3</v>
      </c>
      <c r="AV68" s="269">
        <f t="shared" si="520"/>
        <v>1.1944755505785776E-2</v>
      </c>
      <c r="AW68" s="350"/>
      <c r="AX68" s="269">
        <f t="shared" ref="AX68:AY68" si="521">AX44-AX43</f>
        <v>5.8301913962802709E-3</v>
      </c>
      <c r="AY68" s="269">
        <f t="shared" si="521"/>
        <v>5.7660626029654161E-3</v>
      </c>
      <c r="AZ68" s="350"/>
      <c r="BA68" s="269">
        <f t="shared" ref="BA68:BB68" si="522">BA44-BA43</f>
        <v>1.2960146094563085E-2</v>
      </c>
      <c r="BB68" s="269">
        <f t="shared" si="522"/>
        <v>1.2338062924120874E-2</v>
      </c>
      <c r="BC68" s="350"/>
      <c r="BD68" s="269">
        <f t="shared" si="515"/>
        <v>2.4086131766032581E-2</v>
      </c>
      <c r="BE68" s="269">
        <f t="shared" si="515"/>
        <v>2.4858757062146908E-2</v>
      </c>
      <c r="BF68" s="350"/>
      <c r="BG68" s="313">
        <f t="shared" si="465"/>
        <v>2.2953555466134416E-2</v>
      </c>
      <c r="BH68" s="313">
        <f t="shared" si="466"/>
        <v>2.2677806264293693E-2</v>
      </c>
      <c r="BI68" s="313"/>
    </row>
    <row r="69" spans="1:61" hidden="1" outlineLevel="1" x14ac:dyDescent="0.25">
      <c r="A69" s="833">
        <v>11</v>
      </c>
      <c r="B69" s="270">
        <f t="shared" ref="B69:BE69" si="523">B45-B44</f>
        <v>4.9979950276686114E-2</v>
      </c>
      <c r="C69" s="270">
        <f t="shared" si="523"/>
        <v>4.8991354466858816E-2</v>
      </c>
      <c r="D69" s="338"/>
      <c r="E69" s="270">
        <f t="shared" si="523"/>
        <v>1.0163970919912557E-2</v>
      </c>
      <c r="F69" s="270">
        <f t="shared" si="523"/>
        <v>7.9365079365079083E-3</v>
      </c>
      <c r="G69" s="338"/>
      <c r="H69" s="270">
        <f t="shared" si="523"/>
        <v>2.4398919915274764E-2</v>
      </c>
      <c r="I69" s="270">
        <f t="shared" si="523"/>
        <v>2.5835866261398222E-2</v>
      </c>
      <c r="J69" s="270"/>
      <c r="K69" s="270">
        <f t="shared" si="523"/>
        <v>1.5901590159015933E-2</v>
      </c>
      <c r="L69" s="270">
        <f t="shared" si="523"/>
        <v>1.8108651911468709E-2</v>
      </c>
      <c r="M69" s="270"/>
      <c r="N69" s="270">
        <f t="shared" si="523"/>
        <v>1.3430819359453228E-2</v>
      </c>
      <c r="O69" s="270">
        <f t="shared" si="523"/>
        <v>1.3822115384615419E-2</v>
      </c>
      <c r="P69" s="270"/>
      <c r="Q69" s="270">
        <f t="shared" si="523"/>
        <v>2.2834417820935315E-2</v>
      </c>
      <c r="R69" s="270">
        <f t="shared" si="523"/>
        <v>2.533172496984315E-2</v>
      </c>
      <c r="S69" s="270"/>
      <c r="T69" s="270">
        <f t="shared" si="523"/>
        <v>1.2768439700989509E-2</v>
      </c>
      <c r="U69" s="270">
        <f t="shared" si="523"/>
        <v>1.7435897435897352E-2</v>
      </c>
      <c r="V69" s="270"/>
      <c r="W69" s="270">
        <f t="shared" si="523"/>
        <v>9.5471406357232613E-3</v>
      </c>
      <c r="X69" s="270">
        <f t="shared" si="523"/>
        <v>1.3953488372092981E-2</v>
      </c>
      <c r="Y69" s="270"/>
      <c r="Z69" s="270">
        <f t="shared" si="523"/>
        <v>1.8170049470618177E-2</v>
      </c>
      <c r="AA69" s="270">
        <f t="shared" si="523"/>
        <v>1.8452380952380998E-2</v>
      </c>
      <c r="AB69" s="270"/>
      <c r="AC69" s="270">
        <f t="shared" si="523"/>
        <v>2.7918781725888353E-2</v>
      </c>
      <c r="AD69" s="270">
        <f t="shared" si="523"/>
        <v>2.6022304832713727E-2</v>
      </c>
      <c r="AE69" s="270"/>
      <c r="AF69" s="270">
        <f t="shared" si="523"/>
        <v>2.6827810078685788E-2</v>
      </c>
      <c r="AG69" s="270">
        <f t="shared" si="523"/>
        <v>2.8169014084507005E-2</v>
      </c>
      <c r="AH69" s="270"/>
      <c r="AI69" s="270">
        <f t="shared" ref="AI69:AJ69" si="524">AI45-AI44</f>
        <v>2.1952003045914825E-2</v>
      </c>
      <c r="AJ69" s="270">
        <f t="shared" si="524"/>
        <v>2.2471910112359605E-2</v>
      </c>
      <c r="AK69" s="270"/>
      <c r="AL69" s="270">
        <f t="shared" ref="AL69:AM69" si="525">AL45-AL44</f>
        <v>1.7372698676289766E-2</v>
      </c>
      <c r="AM69" s="270">
        <f t="shared" si="525"/>
        <v>1.4117647058823457E-2</v>
      </c>
      <c r="AN69" s="270"/>
      <c r="AO69" s="270">
        <f t="shared" ref="AO69:AP69" si="526">AO45-AO44</f>
        <v>1.3814444383046909E-2</v>
      </c>
      <c r="AP69" s="270">
        <f t="shared" si="526"/>
        <v>1.2942779291553075E-2</v>
      </c>
      <c r="AQ69" s="335"/>
      <c r="AR69" s="270">
        <f t="shared" ref="AR69:AS69" si="527">AR45-AR44</f>
        <v>2.099830821978288E-2</v>
      </c>
      <c r="AS69" s="270">
        <f t="shared" si="527"/>
        <v>2.069857697283306E-2</v>
      </c>
      <c r="AT69" s="335"/>
      <c r="AU69" s="270">
        <f t="shared" ref="AU69:AV69" si="528">AU45-AU44</f>
        <v>3.54670631537779E-2</v>
      </c>
      <c r="AV69" s="270">
        <f t="shared" si="528"/>
        <v>1.2318029115341522E-2</v>
      </c>
      <c r="AW69" s="335"/>
      <c r="AX69" s="270">
        <f t="shared" ref="AX69:AY69" si="529">AX45-AX44</f>
        <v>1.7263684967015247E-2</v>
      </c>
      <c r="AY69" s="270">
        <f t="shared" si="529"/>
        <v>1.8945634266886335E-2</v>
      </c>
      <c r="AZ69" s="335"/>
      <c r="BA69" s="270">
        <f t="shared" ref="BA69:BB69" si="530">BA45-BA44</f>
        <v>2.1254863625266518E-2</v>
      </c>
      <c r="BB69" s="270">
        <f t="shared" si="530"/>
        <v>1.6656384947563274E-2</v>
      </c>
      <c r="BC69" s="335"/>
      <c r="BD69" s="270">
        <f t="shared" si="523"/>
        <v>1.5573085945347231E-2</v>
      </c>
      <c r="BE69" s="270">
        <f t="shared" si="523"/>
        <v>1.5254237288135575E-2</v>
      </c>
      <c r="BF69" s="335"/>
      <c r="BG69" s="313">
        <f t="shared" si="465"/>
        <v>2.0991527961206343E-2</v>
      </c>
      <c r="BH69" s="313">
        <f t="shared" si="466"/>
        <v>1.9995225451894635E-2</v>
      </c>
      <c r="BI69" s="313"/>
    </row>
    <row r="70" spans="1:61" hidden="1" outlineLevel="1" x14ac:dyDescent="0.25">
      <c r="A70" s="833">
        <v>12</v>
      </c>
      <c r="B70" s="269">
        <f t="shared" ref="B70:BE70" si="531">B46-B45</f>
        <v>3.6618814660357768E-2</v>
      </c>
      <c r="C70" s="269">
        <f t="shared" si="531"/>
        <v>4.3227665706051854E-2</v>
      </c>
      <c r="D70" s="339"/>
      <c r="E70" s="269">
        <f t="shared" si="531"/>
        <v>1.8113543564478307E-2</v>
      </c>
      <c r="F70" s="269">
        <f t="shared" si="531"/>
        <v>1.9841269841269882E-2</v>
      </c>
      <c r="G70" s="339"/>
      <c r="H70" s="269">
        <f t="shared" si="531"/>
        <v>1.3080666806797425E-2</v>
      </c>
      <c r="I70" s="269">
        <f t="shared" si="531"/>
        <v>1.3677811550151908E-2</v>
      </c>
      <c r="J70" s="269"/>
      <c r="K70" s="269">
        <f t="shared" si="531"/>
        <v>4.3715482659377081E-2</v>
      </c>
      <c r="L70" s="269">
        <f t="shared" si="531"/>
        <v>4.0241448692152959E-2</v>
      </c>
      <c r="M70" s="269"/>
      <c r="N70" s="269">
        <f t="shared" si="531"/>
        <v>1.4116790824713399E-2</v>
      </c>
      <c r="O70" s="269">
        <f t="shared" si="531"/>
        <v>1.5625E-2</v>
      </c>
      <c r="P70" s="269"/>
      <c r="Q70" s="269">
        <f t="shared" si="531"/>
        <v>2.322621617538223E-2</v>
      </c>
      <c r="R70" s="269">
        <f t="shared" si="531"/>
        <v>2.4728588661037443E-2</v>
      </c>
      <c r="S70" s="269"/>
      <c r="T70" s="269">
        <f t="shared" si="531"/>
        <v>1.463509484509351E-2</v>
      </c>
      <c r="U70" s="269">
        <f t="shared" si="531"/>
        <v>1.6410256410256396E-2</v>
      </c>
      <c r="V70" s="269"/>
      <c r="W70" s="269">
        <f t="shared" si="531"/>
        <v>2.0736146221538743E-2</v>
      </c>
      <c r="X70" s="269">
        <f t="shared" si="531"/>
        <v>2.4806201550387597E-2</v>
      </c>
      <c r="Y70" s="269"/>
      <c r="Z70" s="269">
        <f t="shared" si="531"/>
        <v>1.7837163068103012E-2</v>
      </c>
      <c r="AA70" s="269">
        <f t="shared" si="531"/>
        <v>1.9642857142857184E-2</v>
      </c>
      <c r="AB70" s="269"/>
      <c r="AC70" s="269">
        <f t="shared" si="531"/>
        <v>2.9022290885014401E-2</v>
      </c>
      <c r="AD70" s="269">
        <f t="shared" si="531"/>
        <v>1.4869888475836368E-2</v>
      </c>
      <c r="AE70" s="269"/>
      <c r="AF70" s="269">
        <f t="shared" si="531"/>
        <v>2.6944173598321242E-2</v>
      </c>
      <c r="AG70" s="269">
        <f t="shared" si="531"/>
        <v>2.464788732394374E-2</v>
      </c>
      <c r="AH70" s="269"/>
      <c r="AI70" s="269">
        <f t="shared" ref="AI70:AJ70" si="532">AI46-AI45</f>
        <v>1.7978036098849404E-2</v>
      </c>
      <c r="AJ70" s="269">
        <f t="shared" si="532"/>
        <v>1.9014693171996555E-2</v>
      </c>
      <c r="AK70" s="269"/>
      <c r="AL70" s="269">
        <f t="shared" ref="AL70:AM70" si="533">AL46-AL45</f>
        <v>3.0657703546393744E-2</v>
      </c>
      <c r="AM70" s="269">
        <f t="shared" si="533"/>
        <v>3.2941176470588251E-2</v>
      </c>
      <c r="AN70" s="269"/>
      <c r="AO70" s="269">
        <f t="shared" ref="AO70:AP70" si="534">AO46-AO45</f>
        <v>1.4666064248542887E-2</v>
      </c>
      <c r="AP70" s="269">
        <f t="shared" si="534"/>
        <v>1.6348773841961872E-2</v>
      </c>
      <c r="AQ70" s="350"/>
      <c r="AR70" s="269">
        <f t="shared" ref="AR70:AS70" si="535">AR46-AR45</f>
        <v>2.4261139989696034E-2</v>
      </c>
      <c r="AS70" s="269">
        <f t="shared" si="535"/>
        <v>2.3932729624838278E-2</v>
      </c>
      <c r="AT70" s="350"/>
      <c r="AU70" s="269">
        <f t="shared" ref="AU70:AV70" si="536">AU46-AU45</f>
        <v>1.354320206535975E-2</v>
      </c>
      <c r="AV70" s="269">
        <f t="shared" si="536"/>
        <v>1.2318029115341522E-2</v>
      </c>
      <c r="AW70" s="350"/>
      <c r="AX70" s="269">
        <f t="shared" ref="AX70:AY70" si="537">AX46-AX45</f>
        <v>1.4385925469935001E-2</v>
      </c>
      <c r="AY70" s="269">
        <f t="shared" si="537"/>
        <v>1.3179571663920919E-2</v>
      </c>
      <c r="AZ70" s="350"/>
      <c r="BA70" s="269">
        <f t="shared" ref="BA70:BB70" si="538">BA46-BA45</f>
        <v>1.2884535907753736E-2</v>
      </c>
      <c r="BB70" s="269">
        <f t="shared" si="538"/>
        <v>1.4188772362739077E-2</v>
      </c>
      <c r="BC70" s="350"/>
      <c r="BD70" s="269">
        <f t="shared" si="531"/>
        <v>2.1707663935819799E-2</v>
      </c>
      <c r="BE70" s="269">
        <f t="shared" si="531"/>
        <v>2.033898305084747E-2</v>
      </c>
      <c r="BF70" s="350"/>
      <c r="BG70" s="313">
        <f t="shared" si="465"/>
        <v>2.0551319593187043E-2</v>
      </c>
      <c r="BH70" s="313">
        <f t="shared" si="466"/>
        <v>2.0753347363174988E-2</v>
      </c>
      <c r="BI70" s="313"/>
    </row>
    <row r="71" spans="1:61" hidden="1" outlineLevel="1" x14ac:dyDescent="0.25">
      <c r="A71" s="833">
        <v>13</v>
      </c>
      <c r="B71" s="270">
        <f t="shared" ref="B71:BE71" si="539">B47-B46</f>
        <v>1.1516561071457154E-2</v>
      </c>
      <c r="C71" s="270">
        <f t="shared" si="539"/>
        <v>1.1527377521613813E-2</v>
      </c>
      <c r="D71" s="338"/>
      <c r="E71" s="270">
        <f t="shared" si="539"/>
        <v>1.7035635409282879E-2</v>
      </c>
      <c r="F71" s="270">
        <f t="shared" si="539"/>
        <v>1.9841269841269826E-2</v>
      </c>
      <c r="G71" s="338"/>
      <c r="H71" s="270">
        <f t="shared" si="539"/>
        <v>2.2579914951412317E-2</v>
      </c>
      <c r="I71" s="270">
        <f t="shared" si="539"/>
        <v>2.2796352583586588E-2</v>
      </c>
      <c r="J71" s="270"/>
      <c r="K71" s="270">
        <f t="shared" si="539"/>
        <v>1.5190407929681848E-2</v>
      </c>
      <c r="L71" s="270">
        <f t="shared" si="539"/>
        <v>1.6096579476861161E-2</v>
      </c>
      <c r="M71" s="270"/>
      <c r="N71" s="270">
        <f t="shared" si="539"/>
        <v>1.1109391534944835E-2</v>
      </c>
      <c r="O71" s="270">
        <f t="shared" si="539"/>
        <v>9.6153846153845812E-3</v>
      </c>
      <c r="P71" s="270"/>
      <c r="Q71" s="270">
        <f t="shared" si="539"/>
        <v>2.0068782377780758E-2</v>
      </c>
      <c r="R71" s="270">
        <f t="shared" si="539"/>
        <v>2.1109770808202644E-2</v>
      </c>
      <c r="S71" s="270"/>
      <c r="T71" s="270">
        <f t="shared" si="539"/>
        <v>2.8894266084777298E-2</v>
      </c>
      <c r="U71" s="270">
        <f t="shared" si="539"/>
        <v>2.6666666666666727E-2</v>
      </c>
      <c r="V71" s="270"/>
      <c r="W71" s="270">
        <f t="shared" si="539"/>
        <v>1.9059532806894097E-2</v>
      </c>
      <c r="X71" s="270">
        <f t="shared" si="539"/>
        <v>2.170542635658923E-2</v>
      </c>
      <c r="Y71" s="270"/>
      <c r="Z71" s="270">
        <f t="shared" si="539"/>
        <v>1.2433923590241425E-2</v>
      </c>
      <c r="AA71" s="270">
        <f t="shared" si="539"/>
        <v>1.3095238095238049E-2</v>
      </c>
      <c r="AB71" s="270"/>
      <c r="AC71" s="270">
        <f t="shared" si="539"/>
        <v>5.931361730302287E-3</v>
      </c>
      <c r="AD71" s="270">
        <f t="shared" si="539"/>
        <v>3.7174721189591198E-3</v>
      </c>
      <c r="AE71" s="270"/>
      <c r="AF71" s="270">
        <f t="shared" si="539"/>
        <v>2.3521481106978159E-2</v>
      </c>
      <c r="AG71" s="270">
        <f t="shared" si="539"/>
        <v>2.8169014084507005E-2</v>
      </c>
      <c r="AH71" s="270"/>
      <c r="AI71" s="270">
        <f t="shared" ref="AI71:AJ71" si="540">AI47-AI46</f>
        <v>9.9944078908230649E-3</v>
      </c>
      <c r="AJ71" s="270">
        <f t="shared" si="540"/>
        <v>1.2100259291270454E-2</v>
      </c>
      <c r="AK71" s="270"/>
      <c r="AL71" s="270">
        <f t="shared" ref="AL71:AM71" si="541">AL47-AL46</f>
        <v>2.5723729381895932E-2</v>
      </c>
      <c r="AM71" s="270">
        <f t="shared" si="541"/>
        <v>2.8235294117647136E-2</v>
      </c>
      <c r="AN71" s="270"/>
      <c r="AO71" s="270">
        <f t="shared" ref="AO71:AP71" si="542">AO47-AO46</f>
        <v>1.9879798081580025E-2</v>
      </c>
      <c r="AP71" s="270">
        <f t="shared" si="542"/>
        <v>1.9073569482288888E-2</v>
      </c>
      <c r="AQ71" s="335"/>
      <c r="AR71" s="270">
        <f t="shared" ref="AR71:AS71" si="543">AR47-AR46</f>
        <v>2.6272972509887249E-2</v>
      </c>
      <c r="AS71" s="270">
        <f t="shared" si="543"/>
        <v>2.7166882276843496E-2</v>
      </c>
      <c r="AT71" s="335"/>
      <c r="AU71" s="270">
        <f t="shared" ref="AU71:AV71" si="544">AU47-AU46</f>
        <v>1.3227455652613629E-2</v>
      </c>
      <c r="AV71" s="270">
        <f t="shared" si="544"/>
        <v>1.1944755505785776E-2</v>
      </c>
      <c r="AW71" s="335"/>
      <c r="AX71" s="270">
        <f t="shared" ref="AX71:AY71" si="545">AX47-AX46</f>
        <v>1.6985099466798825E-2</v>
      </c>
      <c r="AY71" s="270">
        <f t="shared" si="545"/>
        <v>1.7298187808896248E-2</v>
      </c>
      <c r="AZ71" s="335"/>
      <c r="BA71" s="270">
        <f t="shared" ref="BA71:BB71" si="546">BA47-BA46</f>
        <v>1.376385437657246E-2</v>
      </c>
      <c r="BB71" s="270">
        <f t="shared" si="546"/>
        <v>1.4805675508945071E-2</v>
      </c>
      <c r="BC71" s="335"/>
      <c r="BD71" s="270">
        <f t="shared" si="539"/>
        <v>1.3547318667903707E-2</v>
      </c>
      <c r="BE71" s="270">
        <f t="shared" si="539"/>
        <v>1.2429378531073398E-2</v>
      </c>
      <c r="BF71" s="335"/>
      <c r="BG71" s="313">
        <f t="shared" si="465"/>
        <v>1.6496460341565634E-2</v>
      </c>
      <c r="BH71" s="313">
        <f t="shared" si="466"/>
        <v>1.6785054247400105E-2</v>
      </c>
      <c r="BI71" s="313"/>
    </row>
    <row r="72" spans="1:61" hidden="1" outlineLevel="1" x14ac:dyDescent="0.25">
      <c r="A72" s="833">
        <v>14</v>
      </c>
      <c r="B72" s="269">
        <f t="shared" ref="B72:BE72" si="547">B48-B47</f>
        <v>1.342529473093268E-2</v>
      </c>
      <c r="C72" s="269">
        <f t="shared" si="547"/>
        <v>2.3054755043227737E-2</v>
      </c>
      <c r="D72" s="339"/>
      <c r="E72" s="269">
        <f t="shared" si="547"/>
        <v>2.3708121217801859E-2</v>
      </c>
      <c r="F72" s="269">
        <f t="shared" si="547"/>
        <v>2.2486772486772444E-2</v>
      </c>
      <c r="G72" s="339"/>
      <c r="H72" s="269">
        <f t="shared" si="547"/>
        <v>1.0768509386065661E-2</v>
      </c>
      <c r="I72" s="269">
        <f t="shared" si="547"/>
        <v>1.0638297872340496E-2</v>
      </c>
      <c r="J72" s="269"/>
      <c r="K72" s="269">
        <f t="shared" si="547"/>
        <v>2.3035636897023037E-2</v>
      </c>
      <c r="L72" s="269">
        <f t="shared" si="547"/>
        <v>2.2132796780684139E-2</v>
      </c>
      <c r="M72" s="269"/>
      <c r="N72" s="269">
        <f t="shared" si="547"/>
        <v>1.7538282645340186E-2</v>
      </c>
      <c r="O72" s="269">
        <f t="shared" si="547"/>
        <v>1.6225961538461564E-2</v>
      </c>
      <c r="P72" s="269"/>
      <c r="Q72" s="269">
        <f t="shared" si="547"/>
        <v>2.8398978763504834E-2</v>
      </c>
      <c r="R72" s="269">
        <f t="shared" si="547"/>
        <v>2.9553679131483657E-2</v>
      </c>
      <c r="S72" s="269"/>
      <c r="T72" s="269">
        <f t="shared" si="547"/>
        <v>2.6945512682020389E-2</v>
      </c>
      <c r="U72" s="269">
        <f t="shared" si="547"/>
        <v>2.6666666666666616E-2</v>
      </c>
      <c r="V72" s="269"/>
      <c r="W72" s="269">
        <f t="shared" si="547"/>
        <v>2.9188710223867043E-2</v>
      </c>
      <c r="X72" s="269">
        <f t="shared" si="547"/>
        <v>3.100775193798444E-2</v>
      </c>
      <c r="Y72" s="269"/>
      <c r="Z72" s="269">
        <f t="shared" si="547"/>
        <v>2.4377764421224635E-2</v>
      </c>
      <c r="AA72" s="269">
        <f t="shared" si="547"/>
        <v>2.8571428571428581E-2</v>
      </c>
      <c r="AB72" s="269"/>
      <c r="AC72" s="269">
        <f t="shared" si="547"/>
        <v>1.702162877951896E-2</v>
      </c>
      <c r="AD72" s="269">
        <f t="shared" si="547"/>
        <v>1.4869888475836479E-2</v>
      </c>
      <c r="AE72" s="269"/>
      <c r="AF72" s="269">
        <f t="shared" si="547"/>
        <v>3.5775763485127565E-2</v>
      </c>
      <c r="AG72" s="269">
        <f t="shared" si="547"/>
        <v>3.5211267605633756E-2</v>
      </c>
      <c r="AH72" s="269"/>
      <c r="AI72" s="269">
        <f t="shared" ref="AI72:AJ72" si="548">AI48-AI47</f>
        <v>1.4408604709269746E-2</v>
      </c>
      <c r="AJ72" s="269">
        <f t="shared" si="548"/>
        <v>1.4693171996542853E-2</v>
      </c>
      <c r="AK72" s="269"/>
      <c r="AL72" s="269">
        <f t="shared" ref="AL72:AM72" si="549">AL48-AL47</f>
        <v>2.4558097944975876E-2</v>
      </c>
      <c r="AM72" s="269">
        <f t="shared" si="549"/>
        <v>2.8235294117647025E-2</v>
      </c>
      <c r="AN72" s="269"/>
      <c r="AO72" s="269">
        <f t="shared" ref="AO72:AP72" si="550">AO48-AO47</f>
        <v>2.7996190463807746E-2</v>
      </c>
      <c r="AP72" s="269">
        <f t="shared" si="550"/>
        <v>2.5204359673024479E-2</v>
      </c>
      <c r="AQ72" s="350"/>
      <c r="AR72" s="269">
        <f t="shared" ref="AR72:AS72" si="551">AR48-AR47</f>
        <v>3.3418097779399636E-2</v>
      </c>
      <c r="AS72" s="269">
        <f t="shared" si="551"/>
        <v>3.0401034928848603E-2</v>
      </c>
      <c r="AT72" s="350"/>
      <c r="AU72" s="269">
        <f t="shared" ref="AU72:AV72" si="552">AU48-AU47</f>
        <v>1.3598502284541181E-2</v>
      </c>
      <c r="AV72" s="269">
        <f t="shared" si="552"/>
        <v>1.2318029115341522E-2</v>
      </c>
      <c r="AW72" s="350"/>
      <c r="AX72" s="269">
        <f t="shared" ref="AX72:AY72" si="553">AX48-AX47</f>
        <v>3.4021895211988284E-2</v>
      </c>
      <c r="AY72" s="269">
        <f t="shared" si="553"/>
        <v>3.5420098846787429E-2</v>
      </c>
      <c r="AZ72" s="350"/>
      <c r="BA72" s="269">
        <f t="shared" ref="BA72:BB72" si="554">BA48-BA47</f>
        <v>2.2377814918248307E-2</v>
      </c>
      <c r="BB72" s="269">
        <f t="shared" si="554"/>
        <v>2.344231955582976E-2</v>
      </c>
      <c r="BC72" s="350"/>
      <c r="BD72" s="269">
        <f t="shared" si="547"/>
        <v>2.7305654760541032E-2</v>
      </c>
      <c r="BE72" s="269">
        <f t="shared" si="547"/>
        <v>2.6553672316384169E-2</v>
      </c>
      <c r="BF72" s="350"/>
      <c r="BG72" s="313">
        <f t="shared" si="465"/>
        <v>2.2514346569659636E-2</v>
      </c>
      <c r="BH72" s="313">
        <f t="shared" si="466"/>
        <v>2.29179382888288E-2</v>
      </c>
      <c r="BI72" s="313"/>
    </row>
    <row r="73" spans="1:61" ht="15.75" hidden="1" outlineLevel="1" thickBot="1" x14ac:dyDescent="0.3">
      <c r="A73" s="833">
        <v>15</v>
      </c>
      <c r="B73" s="270">
        <f t="shared" ref="B73:BE73" si="555">B49-B48</f>
        <v>2.9833988290961622E-2</v>
      </c>
      <c r="C73" s="270">
        <f t="shared" si="555"/>
        <v>2.5936599423631135E-2</v>
      </c>
      <c r="D73" s="338"/>
      <c r="E73" s="270">
        <f t="shared" si="555"/>
        <v>2.552416213144626E-2</v>
      </c>
      <c r="F73" s="270">
        <f t="shared" si="555"/>
        <v>2.5132275132275228E-2</v>
      </c>
      <c r="G73" s="338"/>
      <c r="H73" s="270">
        <f t="shared" si="555"/>
        <v>1.2975568742218613E-2</v>
      </c>
      <c r="I73" s="270">
        <f t="shared" si="555"/>
        <v>1.5197568389057725E-2</v>
      </c>
      <c r="J73" s="270"/>
      <c r="K73" s="270">
        <f t="shared" si="555"/>
        <v>1.6623884610683315E-2</v>
      </c>
      <c r="L73" s="270">
        <f t="shared" si="555"/>
        <v>1.4084507042253502E-2</v>
      </c>
      <c r="M73" s="270"/>
      <c r="N73" s="270">
        <f t="shared" si="555"/>
        <v>4.8703974033470376E-2</v>
      </c>
      <c r="O73" s="270">
        <f t="shared" si="555"/>
        <v>4.8677884615384581E-2</v>
      </c>
      <c r="P73" s="270"/>
      <c r="Q73" s="270">
        <f t="shared" si="555"/>
        <v>2.1021390141533924E-2</v>
      </c>
      <c r="R73" s="270">
        <f t="shared" si="555"/>
        <v>2.1712907117008462E-2</v>
      </c>
      <c r="S73" s="270"/>
      <c r="T73" s="270">
        <f t="shared" si="555"/>
        <v>3.9631854124357324E-2</v>
      </c>
      <c r="U73" s="270">
        <f t="shared" si="555"/>
        <v>4.1025641025641102E-2</v>
      </c>
      <c r="V73" s="270"/>
      <c r="W73" s="270">
        <f t="shared" si="555"/>
        <v>3.077845247713118E-2</v>
      </c>
      <c r="X73" s="270">
        <f t="shared" si="555"/>
        <v>3.1007751937984551E-2</v>
      </c>
      <c r="Y73" s="270"/>
      <c r="Z73" s="270">
        <f t="shared" si="555"/>
        <v>3.1063233005070301E-2</v>
      </c>
      <c r="AA73" s="270">
        <f t="shared" si="555"/>
        <v>2.9761904761904767E-2</v>
      </c>
      <c r="AB73" s="270"/>
      <c r="AC73" s="270">
        <f t="shared" si="555"/>
        <v>3.0263738689031094E-2</v>
      </c>
      <c r="AD73" s="270">
        <f t="shared" si="555"/>
        <v>1.8587360594795488E-2</v>
      </c>
      <c r="AE73" s="270"/>
      <c r="AF73" s="270">
        <f t="shared" si="555"/>
        <v>4.4013498168277709E-2</v>
      </c>
      <c r="AG73" s="270">
        <f t="shared" si="555"/>
        <v>2.7288732394366244E-2</v>
      </c>
      <c r="AH73" s="270"/>
      <c r="AI73" s="270">
        <f t="shared" ref="AI73:AJ73" si="556">AI49-AI48</f>
        <v>1.5443739812247892E-2</v>
      </c>
      <c r="AJ73" s="270">
        <f t="shared" si="556"/>
        <v>1.6421780466724267E-2</v>
      </c>
      <c r="AK73" s="270"/>
      <c r="AL73" s="270">
        <f t="shared" ref="AL73:AM73" si="557">AL49-AL48</f>
        <v>3.7364076197167306E-2</v>
      </c>
      <c r="AM73" s="270">
        <f t="shared" si="557"/>
        <v>3.2941176470588251E-2</v>
      </c>
      <c r="AN73" s="270"/>
      <c r="AO73" s="270">
        <f t="shared" ref="AO73:AP73" si="558">AO49-AO48</f>
        <v>3.4867657622810411E-2</v>
      </c>
      <c r="AP73" s="270">
        <f t="shared" si="558"/>
        <v>3.2016348773841963E-2</v>
      </c>
      <c r="AQ73" s="335"/>
      <c r="AR73" s="270">
        <f t="shared" ref="AR73:AS73" si="559">AR49-AR48</f>
        <v>3.2760508130544763E-2</v>
      </c>
      <c r="AS73" s="270">
        <f t="shared" si="559"/>
        <v>3.5575679172056951E-2</v>
      </c>
      <c r="AT73" s="335"/>
      <c r="AU73" s="270">
        <f t="shared" ref="AU73:AV73" si="560">AU49-AU48</f>
        <v>2.5033160508850516E-2</v>
      </c>
      <c r="AV73" s="270">
        <f t="shared" si="560"/>
        <v>1.7170586039567004E-2</v>
      </c>
      <c r="AW73" s="335"/>
      <c r="AX73" s="270">
        <f t="shared" ref="AX73:AY73" si="561">AX49-AX48</f>
        <v>7.3543700041650006E-2</v>
      </c>
      <c r="AY73" s="270">
        <f t="shared" si="561"/>
        <v>7.0840197693574969E-2</v>
      </c>
      <c r="AZ73" s="335"/>
      <c r="BA73" s="270">
        <f t="shared" ref="BA73:BB73" si="562">BA49-BA48</f>
        <v>1.2425274032319855E-2</v>
      </c>
      <c r="BB73" s="270">
        <f t="shared" si="562"/>
        <v>1.3571869216532972E-2</v>
      </c>
      <c r="BC73" s="335"/>
      <c r="BD73" s="270">
        <f t="shared" si="555"/>
        <v>3.1314985830481423E-2</v>
      </c>
      <c r="BE73" s="270">
        <f t="shared" si="555"/>
        <v>3.5028248587570698E-2</v>
      </c>
      <c r="BF73" s="335"/>
      <c r="BG73" s="313">
        <f t="shared" si="465"/>
        <v>3.0030892899645466E-2</v>
      </c>
      <c r="BH73" s="313">
        <f t="shared" si="466"/>
        <v>2.8545053837639667E-2</v>
      </c>
      <c r="BI73" s="313"/>
    </row>
    <row r="74" spans="1:61" ht="15.75" hidden="1" outlineLevel="1" thickBot="1" x14ac:dyDescent="0.3">
      <c r="A74" s="833">
        <v>16</v>
      </c>
      <c r="B74" s="269">
        <f t="shared" ref="B74:BE74" si="563">B50-B49</f>
        <v>3.0090624749378514E-2</v>
      </c>
      <c r="C74" s="269">
        <f t="shared" si="563"/>
        <v>2.8818443804034533E-2</v>
      </c>
      <c r="D74" s="339"/>
      <c r="E74" s="269">
        <f t="shared" si="563"/>
        <v>3.50671642228223E-2</v>
      </c>
      <c r="F74" s="269">
        <f t="shared" si="563"/>
        <v>3.0423280423280352E-2</v>
      </c>
      <c r="G74" s="339"/>
      <c r="H74" s="269">
        <f t="shared" si="563"/>
        <v>2.4520186912865727E-2</v>
      </c>
      <c r="I74" s="269">
        <f t="shared" si="563"/>
        <v>2.5835866261398222E-2</v>
      </c>
      <c r="J74" s="269"/>
      <c r="K74" s="269">
        <f t="shared" si="563"/>
        <v>2.9869653632029869E-2</v>
      </c>
      <c r="L74" s="269">
        <f t="shared" si="563"/>
        <v>2.4144869215291798E-2</v>
      </c>
      <c r="M74" s="269"/>
      <c r="N74" s="269">
        <f t="shared" si="563"/>
        <v>2.0876119409227956E-2</v>
      </c>
      <c r="O74" s="269">
        <f t="shared" si="563"/>
        <v>2.2235576923076872E-2</v>
      </c>
      <c r="P74" s="269"/>
      <c r="Q74" s="269">
        <f t="shared" si="563"/>
        <v>2.2191663657757821E-2</v>
      </c>
      <c r="R74" s="269">
        <f t="shared" si="563"/>
        <v>2.2919179734619988E-2</v>
      </c>
      <c r="S74" s="269"/>
      <c r="T74" s="269">
        <f t="shared" si="563"/>
        <v>3.8581860605798712E-2</v>
      </c>
      <c r="U74" s="269">
        <f t="shared" si="563"/>
        <v>3.9999999999999925E-2</v>
      </c>
      <c r="V74" s="269"/>
      <c r="W74" s="269">
        <f t="shared" si="563"/>
        <v>3.0205102812019491E-2</v>
      </c>
      <c r="X74" s="269">
        <f t="shared" si="563"/>
        <v>3.5658914728682101E-2</v>
      </c>
      <c r="Y74" s="269"/>
      <c r="Z74" s="269">
        <f t="shared" si="563"/>
        <v>2.6082266093362394E-2</v>
      </c>
      <c r="AA74" s="269">
        <f t="shared" si="563"/>
        <v>2.6190476190476208E-2</v>
      </c>
      <c r="AB74" s="269"/>
      <c r="AC74" s="269">
        <f t="shared" si="563"/>
        <v>2.7035974398587515E-2</v>
      </c>
      <c r="AD74" s="269">
        <f t="shared" si="563"/>
        <v>2.9739776951672847E-2</v>
      </c>
      <c r="AE74" s="269"/>
      <c r="AF74" s="269">
        <f t="shared" si="563"/>
        <v>2.9187180752671349E-2</v>
      </c>
      <c r="AG74" s="269">
        <f t="shared" si="563"/>
        <v>2.7288732394366244E-2</v>
      </c>
      <c r="AH74" s="269"/>
      <c r="AI74" s="269">
        <f t="shared" ref="AI74:AJ74" si="564">AI50-AI49</f>
        <v>1.1874308422668345E-2</v>
      </c>
      <c r="AJ74" s="269">
        <f t="shared" si="564"/>
        <v>9.5073465859982775E-3</v>
      </c>
      <c r="AK74" s="269"/>
      <c r="AL74" s="269">
        <f t="shared" ref="AL74:AM74" si="565">AL50-AL49</f>
        <v>3.2382199370878384E-2</v>
      </c>
      <c r="AM74" s="269">
        <f t="shared" si="565"/>
        <v>2.5882352941176467E-2</v>
      </c>
      <c r="AN74" s="269"/>
      <c r="AO74" s="269">
        <f t="shared" ref="AO74:AP74" si="566">AO50-AO49</f>
        <v>2.6604994652997482E-2</v>
      </c>
      <c r="AP74" s="269">
        <f t="shared" si="566"/>
        <v>2.4523160762942808E-2</v>
      </c>
      <c r="AQ74" s="350"/>
      <c r="AR74" s="269">
        <f t="shared" ref="AR74:AS74" si="567">AR50-AR49</f>
        <v>2.4086201845227584E-2</v>
      </c>
      <c r="AS74" s="269">
        <f t="shared" si="567"/>
        <v>2.975420439844767E-2</v>
      </c>
      <c r="AT74" s="350"/>
      <c r="AU74" s="269">
        <f t="shared" ref="AU74:AV74" si="568">AU50-AU49</f>
        <v>2.7398582787389381E-2</v>
      </c>
      <c r="AV74" s="269">
        <f t="shared" si="568"/>
        <v>2.4262784621127298E-2</v>
      </c>
      <c r="AW74" s="350"/>
      <c r="AX74" s="269">
        <f t="shared" ref="AX74:AY74" si="569">AX50-AX49</f>
        <v>5.0398127399963855E-2</v>
      </c>
      <c r="AY74" s="269">
        <f t="shared" si="569"/>
        <v>4.8599670510708348E-2</v>
      </c>
      <c r="AZ74" s="350"/>
      <c r="BA74" s="269">
        <f t="shared" ref="BA74:BB74" si="570">BA50-BA49</f>
        <v>2.8785078156009836E-2</v>
      </c>
      <c r="BB74" s="269">
        <f t="shared" si="570"/>
        <v>3.3929673041332542E-2</v>
      </c>
      <c r="BC74" s="350"/>
      <c r="BD74" s="269">
        <f t="shared" si="563"/>
        <v>1.77887689050511E-2</v>
      </c>
      <c r="BE74" s="269">
        <f t="shared" si="563"/>
        <v>1.9209039548022555E-2</v>
      </c>
      <c r="BF74" s="350"/>
      <c r="BG74" s="314">
        <f t="shared" si="465"/>
        <v>2.8354244359881674E-2</v>
      </c>
      <c r="BH74" s="314">
        <f t="shared" si="466"/>
        <v>2.8533951509568112E-2</v>
      </c>
      <c r="BI74" s="313"/>
    </row>
    <row r="75" spans="1:61" hidden="1" outlineLevel="1" x14ac:dyDescent="0.25">
      <c r="A75" s="833">
        <v>17</v>
      </c>
      <c r="B75" s="271">
        <f t="shared" ref="B75:BE75" si="571">B51-B50</f>
        <v>2.8262089983158156E-2</v>
      </c>
      <c r="C75" s="271">
        <f t="shared" si="571"/>
        <v>2.5936599423631135E-2</v>
      </c>
      <c r="D75" s="344"/>
      <c r="E75" s="271">
        <f t="shared" si="571"/>
        <v>3.5705707640845685E-2</v>
      </c>
      <c r="F75" s="271">
        <f t="shared" si="571"/>
        <v>3.4391534391534417E-2</v>
      </c>
      <c r="G75" s="344"/>
      <c r="H75" s="270">
        <f t="shared" si="571"/>
        <v>5.4845020777078868E-2</v>
      </c>
      <c r="I75" s="270">
        <f t="shared" si="571"/>
        <v>6.534954407294824E-2</v>
      </c>
      <c r="J75" s="270"/>
      <c r="K75" s="270">
        <f t="shared" si="571"/>
        <v>2.6847129157360095E-2</v>
      </c>
      <c r="L75" s="270">
        <f t="shared" si="571"/>
        <v>2.8169014084507005E-2</v>
      </c>
      <c r="M75" s="270"/>
      <c r="N75" s="270">
        <f t="shared" si="571"/>
        <v>2.0901215926249717E-2</v>
      </c>
      <c r="O75" s="270">
        <f t="shared" si="571"/>
        <v>2.0432692307692402E-2</v>
      </c>
      <c r="P75" s="270"/>
      <c r="Q75" s="270">
        <f t="shared" si="571"/>
        <v>2.8752365514574607E-2</v>
      </c>
      <c r="R75" s="270">
        <f t="shared" si="571"/>
        <v>1.5681544028950611E-2</v>
      </c>
      <c r="S75" s="270"/>
      <c r="T75" s="270">
        <f t="shared" si="571"/>
        <v>3.0130060925549818E-2</v>
      </c>
      <c r="U75" s="270">
        <f t="shared" si="571"/>
        <v>2.8717948717948749E-2</v>
      </c>
      <c r="V75" s="270"/>
      <c r="W75" s="270">
        <f t="shared" si="571"/>
        <v>4.5798476279829359E-2</v>
      </c>
      <c r="X75" s="270">
        <f t="shared" si="571"/>
        <v>5.1162790697674487E-2</v>
      </c>
      <c r="Y75" s="270"/>
      <c r="Z75" s="270">
        <f t="shared" si="571"/>
        <v>2.1794812520227413E-2</v>
      </c>
      <c r="AA75" s="270">
        <f t="shared" si="571"/>
        <v>2.3809523809523836E-2</v>
      </c>
      <c r="AB75" s="270"/>
      <c r="AC75" s="270">
        <f t="shared" si="571"/>
        <v>1.2193776208342499E-2</v>
      </c>
      <c r="AD75" s="270">
        <f t="shared" si="571"/>
        <v>1.1152416356877359E-2</v>
      </c>
      <c r="AE75" s="270"/>
      <c r="AF75" s="270">
        <f t="shared" si="571"/>
        <v>2.8805989912486618E-2</v>
      </c>
      <c r="AG75" s="270">
        <f t="shared" si="571"/>
        <v>2.8169014084507005E-2</v>
      </c>
      <c r="AH75" s="270"/>
      <c r="AI75" s="270">
        <f t="shared" ref="AI75:AJ75" si="572">AI51-AI50</f>
        <v>2.887669994169928E-2</v>
      </c>
      <c r="AJ75" s="270">
        <f t="shared" si="572"/>
        <v>2.5064822817631782E-2</v>
      </c>
      <c r="AK75" s="270"/>
      <c r="AL75" s="270">
        <f t="shared" ref="AL75:AM75" si="573">AL51-AL50</f>
        <v>2.2482315934022057E-2</v>
      </c>
      <c r="AM75" s="270">
        <f t="shared" si="573"/>
        <v>2.352941176470591E-2</v>
      </c>
      <c r="AN75" s="270"/>
      <c r="AO75" s="270">
        <f t="shared" ref="AO75:AP75" si="574">AO51-AO50</f>
        <v>1.9473490893843315E-2</v>
      </c>
      <c r="AP75" s="270">
        <f t="shared" si="574"/>
        <v>1.7711171662125325E-2</v>
      </c>
      <c r="AQ75" s="335"/>
      <c r="AR75" s="270">
        <f t="shared" ref="AR75:AS75" si="575">AR51-AR50</f>
        <v>2.4369471232426498E-2</v>
      </c>
      <c r="AS75" s="270">
        <f t="shared" si="575"/>
        <v>2.5873221216041409E-2</v>
      </c>
      <c r="AT75" s="335"/>
      <c r="AU75" s="270">
        <f t="shared" ref="AU75:AV75" si="576">AU51-AU50</f>
        <v>2.1215661507287042E-2</v>
      </c>
      <c r="AV75" s="270">
        <f t="shared" si="576"/>
        <v>1.8663680477790212E-2</v>
      </c>
      <c r="AW75" s="335"/>
      <c r="AX75" s="270">
        <f t="shared" ref="AX75:AY75" si="577">AX51-AX50</f>
        <v>3.9559141030721556E-2</v>
      </c>
      <c r="AY75" s="270">
        <f t="shared" si="577"/>
        <v>3.8714991762767714E-2</v>
      </c>
      <c r="AZ75" s="335"/>
      <c r="BA75" s="270">
        <f t="shared" ref="BA75:BB75" si="578">BA51-BA50</f>
        <v>2.1081240233334131E-2</v>
      </c>
      <c r="BB75" s="270">
        <f t="shared" si="578"/>
        <v>2.4059222702035754E-2</v>
      </c>
      <c r="BC75" s="335"/>
      <c r="BD75" s="270">
        <f t="shared" si="571"/>
        <v>1.800280086442374E-2</v>
      </c>
      <c r="BE75" s="270">
        <f t="shared" si="571"/>
        <v>1.8079096045197751E-2</v>
      </c>
      <c r="BF75" s="335"/>
      <c r="BG75" s="313">
        <f t="shared" si="465"/>
        <v>2.8737897485783002E-2</v>
      </c>
      <c r="BH75" s="313">
        <f t="shared" si="466"/>
        <v>2.8430669908105027E-2</v>
      </c>
      <c r="BI75" s="313"/>
    </row>
    <row r="76" spans="1:61" hidden="1" outlineLevel="1" x14ac:dyDescent="0.25">
      <c r="A76" s="833">
        <v>18</v>
      </c>
      <c r="B76" s="272">
        <f t="shared" ref="B76:BE76" si="579">B52-B51</f>
        <v>4.205629962306523E-2</v>
      </c>
      <c r="C76" s="272">
        <f t="shared" si="579"/>
        <v>4.8991354466858761E-2</v>
      </c>
      <c r="D76" s="345"/>
      <c r="E76" s="272">
        <f t="shared" si="579"/>
        <v>3.4405188018816535E-2</v>
      </c>
      <c r="F76" s="272">
        <f t="shared" si="579"/>
        <v>3.9682539682539653E-2</v>
      </c>
      <c r="G76" s="345"/>
      <c r="H76" s="269">
        <f t="shared" si="579"/>
        <v>4.1562242307630171E-2</v>
      </c>
      <c r="I76" s="269">
        <f t="shared" si="579"/>
        <v>4.1033434650455947E-2</v>
      </c>
      <c r="J76" s="269"/>
      <c r="K76" s="269">
        <f t="shared" si="579"/>
        <v>2.7680545832361014E-2</v>
      </c>
      <c r="L76" s="269">
        <f t="shared" si="579"/>
        <v>2.8169014084507005E-2</v>
      </c>
      <c r="M76" s="269"/>
      <c r="N76" s="269">
        <f t="shared" si="579"/>
        <v>2.0319813281913346E-2</v>
      </c>
      <c r="O76" s="269">
        <f t="shared" si="579"/>
        <v>2.1033653846153855E-2</v>
      </c>
      <c r="P76" s="269"/>
      <c r="Q76" s="269">
        <f t="shared" si="579"/>
        <v>3.0570514741092958E-2</v>
      </c>
      <c r="R76" s="269">
        <f t="shared" si="579"/>
        <v>3.0156815440289475E-2</v>
      </c>
      <c r="S76" s="269"/>
      <c r="T76" s="269">
        <f t="shared" si="579"/>
        <v>2.7969580434688668E-2</v>
      </c>
      <c r="U76" s="269">
        <f t="shared" si="579"/>
        <v>2.4615384615384595E-2</v>
      </c>
      <c r="V76" s="269"/>
      <c r="W76" s="269">
        <f t="shared" si="579"/>
        <v>2.7373102951013362E-2</v>
      </c>
      <c r="X76" s="269">
        <f t="shared" si="579"/>
        <v>3.100775193798444E-2</v>
      </c>
      <c r="Y76" s="269"/>
      <c r="Z76" s="269">
        <f t="shared" si="579"/>
        <v>2.8017938878357795E-2</v>
      </c>
      <c r="AA76" s="269">
        <f t="shared" si="579"/>
        <v>2.6785714285714191E-2</v>
      </c>
      <c r="AB76" s="269"/>
      <c r="AC76" s="269">
        <f t="shared" si="579"/>
        <v>3.63606267932024E-2</v>
      </c>
      <c r="AD76" s="269">
        <f t="shared" si="579"/>
        <v>4.0892193308550207E-2</v>
      </c>
      <c r="AE76" s="269"/>
      <c r="AF76" s="269">
        <f t="shared" si="579"/>
        <v>2.3938784763601451E-2</v>
      </c>
      <c r="AG76" s="269">
        <f t="shared" si="579"/>
        <v>2.7288732394366133E-2</v>
      </c>
      <c r="AH76" s="269"/>
      <c r="AI76" s="269">
        <f t="shared" ref="AI76:AJ76" si="580">AI52-AI51</f>
        <v>3.0387759229954625E-2</v>
      </c>
      <c r="AJ76" s="269">
        <f t="shared" si="580"/>
        <v>2.3336214347450257E-2</v>
      </c>
      <c r="AK76" s="269"/>
      <c r="AL76" s="269">
        <f t="shared" ref="AL76:AM76" si="581">AL52-AL51</f>
        <v>4.165934820444861E-2</v>
      </c>
      <c r="AM76" s="269">
        <f t="shared" si="581"/>
        <v>4.2352941176470593E-2</v>
      </c>
      <c r="AN76" s="269"/>
      <c r="AO76" s="269">
        <f t="shared" ref="AO76:AP76" si="582">AO52-AO51</f>
        <v>2.7615886936086187E-2</v>
      </c>
      <c r="AP76" s="269">
        <f t="shared" si="582"/>
        <v>2.5885558583106261E-2</v>
      </c>
      <c r="AQ76" s="350"/>
      <c r="AR76" s="269">
        <f t="shared" ref="AR76:AS76" si="583">AR52-AR51</f>
        <v>2.7745926540598931E-2</v>
      </c>
      <c r="AS76" s="269">
        <f t="shared" si="583"/>
        <v>2.5873221216041298E-2</v>
      </c>
      <c r="AT76" s="350"/>
      <c r="AU76" s="269">
        <f t="shared" ref="AU76:AV76" si="584">AU52-AU51</f>
        <v>2.6051754868613441E-2</v>
      </c>
      <c r="AV76" s="269">
        <f t="shared" si="584"/>
        <v>2.2023142963792486E-2</v>
      </c>
      <c r="AW76" s="350"/>
      <c r="AX76" s="269">
        <f t="shared" ref="AX76:AY76" si="585">AX52-AX51</f>
        <v>3.2275709808570308E-2</v>
      </c>
      <c r="AY76" s="269">
        <f t="shared" si="585"/>
        <v>3.2125205930807255E-2</v>
      </c>
      <c r="AZ76" s="350"/>
      <c r="BA76" s="269">
        <f t="shared" ref="BA76:BB76" si="586">BA52-BA51</f>
        <v>2.8112987606594197E-2</v>
      </c>
      <c r="BB76" s="269">
        <f t="shared" si="586"/>
        <v>3.2078963602714339E-2</v>
      </c>
      <c r="BC76" s="350"/>
      <c r="BD76" s="269">
        <f t="shared" si="579"/>
        <v>1.9992393726198765E-2</v>
      </c>
      <c r="BE76" s="269">
        <f t="shared" si="579"/>
        <v>2.2033898305084731E-2</v>
      </c>
      <c r="BF76" s="350"/>
      <c r="BG76" s="313">
        <f t="shared" si="465"/>
        <v>3.0531617365784948E-2</v>
      </c>
      <c r="BH76" s="313">
        <f t="shared" si="466"/>
        <v>3.0855635185146876E-2</v>
      </c>
      <c r="BI76" s="313"/>
    </row>
    <row r="77" spans="1:61" hidden="1" outlineLevel="1" x14ac:dyDescent="0.25">
      <c r="A77" s="833">
        <v>19</v>
      </c>
      <c r="B77" s="271">
        <f t="shared" ref="B77:BE77" si="587">B53-B52</f>
        <v>4.6755954767824237E-2</v>
      </c>
      <c r="C77" s="271">
        <f t="shared" si="587"/>
        <v>4.8991354466858761E-2</v>
      </c>
      <c r="D77" s="344"/>
      <c r="E77" s="271">
        <f t="shared" si="587"/>
        <v>4.7580271937481378E-2</v>
      </c>
      <c r="F77" s="271">
        <f t="shared" si="587"/>
        <v>4.7619047619047672E-2</v>
      </c>
      <c r="G77" s="344"/>
      <c r="H77" s="270">
        <f t="shared" si="587"/>
        <v>7.4344753989684209E-2</v>
      </c>
      <c r="I77" s="270">
        <f t="shared" si="587"/>
        <v>5.3191489361702149E-2</v>
      </c>
      <c r="J77" s="270"/>
      <c r="K77" s="270">
        <f t="shared" si="587"/>
        <v>5.204964940938539E-2</v>
      </c>
      <c r="L77" s="270">
        <f t="shared" si="587"/>
        <v>4.8289738430583484E-2</v>
      </c>
      <c r="M77" s="270"/>
      <c r="N77" s="270">
        <f t="shared" si="587"/>
        <v>3.7925019972644858E-2</v>
      </c>
      <c r="O77" s="270">
        <f t="shared" si="587"/>
        <v>3.8461538461538436E-2</v>
      </c>
      <c r="P77" s="270"/>
      <c r="Q77" s="270">
        <f t="shared" si="587"/>
        <v>4.8165589861385305E-2</v>
      </c>
      <c r="R77" s="270">
        <f t="shared" si="587"/>
        <v>4.8250904704463249E-2</v>
      </c>
      <c r="S77" s="270"/>
      <c r="T77" s="270">
        <f t="shared" si="587"/>
        <v>4.3957136067061309E-2</v>
      </c>
      <c r="U77" s="270">
        <f t="shared" si="587"/>
        <v>4.7179487179487167E-2</v>
      </c>
      <c r="V77" s="270"/>
      <c r="W77" s="270">
        <f t="shared" si="587"/>
        <v>3.9152832434216744E-2</v>
      </c>
      <c r="X77" s="270">
        <f t="shared" si="587"/>
        <v>4.3410852713178349E-2</v>
      </c>
      <c r="Y77" s="270"/>
      <c r="Z77" s="270">
        <f t="shared" si="587"/>
        <v>3.8772019048499695E-2</v>
      </c>
      <c r="AA77" s="270">
        <f t="shared" si="587"/>
        <v>4.0476190476190554E-2</v>
      </c>
      <c r="AB77" s="270"/>
      <c r="AC77" s="270">
        <f t="shared" si="587"/>
        <v>3.9864268373427492E-2</v>
      </c>
      <c r="AD77" s="270">
        <f t="shared" si="587"/>
        <v>4.4609665427509326E-2</v>
      </c>
      <c r="AE77" s="270"/>
      <c r="AF77" s="270">
        <f t="shared" si="587"/>
        <v>6.9525196714536164E-2</v>
      </c>
      <c r="AG77" s="270">
        <f t="shared" si="587"/>
        <v>6.9542253521126862E-2</v>
      </c>
      <c r="AH77" s="270"/>
      <c r="AI77" s="270">
        <f t="shared" ref="AI77:AJ77" si="588">AI53-AI52</f>
        <v>6.4190274489273835E-2</v>
      </c>
      <c r="AJ77" s="270">
        <f t="shared" si="588"/>
        <v>7.0008643042350993E-2</v>
      </c>
      <c r="AK77" s="270"/>
      <c r="AL77" s="270">
        <f t="shared" ref="AL77:AM77" si="589">AL53-AL52</f>
        <v>5.1495361425583197E-2</v>
      </c>
      <c r="AM77" s="270">
        <f t="shared" si="589"/>
        <v>4.9411764705882266E-2</v>
      </c>
      <c r="AN77" s="270"/>
      <c r="AO77" s="270">
        <f t="shared" ref="AO77:AP77" si="590">AO53-AO52</f>
        <v>5.0122054679196171E-2</v>
      </c>
      <c r="AP77" s="270">
        <f t="shared" si="590"/>
        <v>5.3814713896457755E-2</v>
      </c>
      <c r="AQ77" s="335"/>
      <c r="AR77" s="270">
        <f t="shared" ref="AR77:AS77" si="591">AR53-AR52</f>
        <v>2.9231658102504499E-2</v>
      </c>
      <c r="AS77" s="270">
        <f t="shared" si="591"/>
        <v>2.8460543337645583E-2</v>
      </c>
      <c r="AT77" s="335"/>
      <c r="AU77" s="270">
        <f t="shared" ref="AU77:AV77" si="592">AU53-AU52</f>
        <v>2.9430419872800928E-2</v>
      </c>
      <c r="AV77" s="270">
        <f t="shared" si="592"/>
        <v>2.7248973497573714E-2</v>
      </c>
      <c r="AW77" s="335"/>
      <c r="AX77" s="270">
        <f t="shared" ref="AX77:AY77" si="593">AX53-AX52</f>
        <v>2.7778133588582832E-2</v>
      </c>
      <c r="AY77" s="270">
        <f t="shared" si="593"/>
        <v>2.8006589785832037E-2</v>
      </c>
      <c r="AZ77" s="335"/>
      <c r="BA77" s="270">
        <f t="shared" ref="BA77:BB77" si="594">BA53-BA52</f>
        <v>1.5460883013846738E-2</v>
      </c>
      <c r="BB77" s="270">
        <f t="shared" si="594"/>
        <v>1.8507094386181366E-2</v>
      </c>
      <c r="BC77" s="335"/>
      <c r="BD77" s="270">
        <f t="shared" si="587"/>
        <v>1.9501024580033111E-2</v>
      </c>
      <c r="BE77" s="270">
        <f t="shared" si="587"/>
        <v>1.9774011299435013E-2</v>
      </c>
      <c r="BF77" s="335"/>
      <c r="BG77" s="313">
        <f t="shared" si="465"/>
        <v>4.2798807475488476E-2</v>
      </c>
      <c r="BH77" s="313">
        <f t="shared" si="466"/>
        <v>4.2907926674162537E-2</v>
      </c>
      <c r="BI77" s="313"/>
    </row>
    <row r="78" spans="1:61" hidden="1" outlineLevel="1" x14ac:dyDescent="0.25">
      <c r="A78" s="285">
        <v>20</v>
      </c>
      <c r="B78" s="272">
        <f t="shared" ref="B78:BE78" si="595">B54-B53</f>
        <v>8.077632528671097E-2</v>
      </c>
      <c r="C78" s="272">
        <f t="shared" si="595"/>
        <v>9.5100864553314124E-2</v>
      </c>
      <c r="D78" s="345"/>
      <c r="E78" s="272">
        <f t="shared" si="595"/>
        <v>3.9730288633341271E-2</v>
      </c>
      <c r="F78" s="272">
        <f t="shared" si="595"/>
        <v>5.1587301587301515E-2</v>
      </c>
      <c r="G78" s="345"/>
      <c r="H78" s="272">
        <f t="shared" si="595"/>
        <v>6.2185716364577037E-2</v>
      </c>
      <c r="I78" s="272">
        <f t="shared" si="595"/>
        <v>5.3191489361702149E-2</v>
      </c>
      <c r="J78" s="272"/>
      <c r="K78" s="269">
        <f t="shared" si="595"/>
        <v>8.4008400840084096E-2</v>
      </c>
      <c r="L78" s="269">
        <f t="shared" si="595"/>
        <v>7.8470824949698259E-2</v>
      </c>
      <c r="M78" s="269"/>
      <c r="N78" s="269">
        <f t="shared" si="595"/>
        <v>3.6435959962689779E-2</v>
      </c>
      <c r="O78" s="269">
        <f t="shared" si="595"/>
        <v>3.7259615384615308E-2</v>
      </c>
      <c r="P78" s="269"/>
      <c r="Q78" s="269">
        <f t="shared" si="595"/>
        <v>7.9883331156675896E-2</v>
      </c>
      <c r="R78" s="269">
        <f t="shared" si="595"/>
        <v>7.9010856453558431E-2</v>
      </c>
      <c r="S78" s="269"/>
      <c r="T78" s="269">
        <f t="shared" si="595"/>
        <v>3.5721384435898562E-2</v>
      </c>
      <c r="U78" s="269">
        <f t="shared" si="595"/>
        <v>3.6923076923076947E-2</v>
      </c>
      <c r="V78" s="269"/>
      <c r="W78" s="269">
        <f t="shared" si="595"/>
        <v>7.0400389182803003E-2</v>
      </c>
      <c r="X78" s="269">
        <f t="shared" si="595"/>
        <v>6.0465116279069697E-2</v>
      </c>
      <c r="Y78" s="269"/>
      <c r="Z78" s="269">
        <f t="shared" si="595"/>
        <v>4.8512028603572288E-2</v>
      </c>
      <c r="AA78" s="269">
        <f t="shared" si="595"/>
        <v>4.7023809523809468E-2</v>
      </c>
      <c r="AB78" s="269"/>
      <c r="AC78" s="269">
        <f t="shared" si="595"/>
        <v>9.4625910395056301E-2</v>
      </c>
      <c r="AD78" s="269">
        <f t="shared" si="595"/>
        <v>0.10780669144981414</v>
      </c>
      <c r="AE78" s="269"/>
      <c r="AF78" s="269">
        <f t="shared" si="595"/>
        <v>6.700131209899729E-2</v>
      </c>
      <c r="AG78" s="269">
        <f t="shared" si="595"/>
        <v>7.4823943661971759E-2</v>
      </c>
      <c r="AH78" s="269"/>
      <c r="AI78" s="269">
        <f t="shared" ref="AI78:AJ78" si="596">AI54-AI53</f>
        <v>5.8098444917724645E-2</v>
      </c>
      <c r="AJ78" s="269">
        <f t="shared" si="596"/>
        <v>6.9144338807260119E-2</v>
      </c>
      <c r="AK78" s="269"/>
      <c r="AL78" s="269">
        <f t="shared" ref="AL78:AM78" si="597">AL54-AL53</f>
        <v>5.3443403005093648E-2</v>
      </c>
      <c r="AM78" s="269">
        <f t="shared" si="597"/>
        <v>5.6470588235294161E-2</v>
      </c>
      <c r="AN78" s="269"/>
      <c r="AO78" s="269">
        <f t="shared" ref="AO78:AP78" si="598">AO54-AO53</f>
        <v>6.6276828463606163E-2</v>
      </c>
      <c r="AP78" s="269">
        <f t="shared" si="598"/>
        <v>7.4250681198910096E-2</v>
      </c>
      <c r="AQ78" s="350"/>
      <c r="AR78" s="269">
        <f t="shared" ref="AR78:AS78" si="599">AR54-AR53</f>
        <v>4.001139159302769E-2</v>
      </c>
      <c r="AS78" s="269">
        <f t="shared" si="599"/>
        <v>4.0750323415265188E-2</v>
      </c>
      <c r="AT78" s="350"/>
      <c r="AU78" s="269">
        <f t="shared" ref="AU78:AV78" si="600">AU54-AU53</f>
        <v>6.5322045999649969E-2</v>
      </c>
      <c r="AV78" s="269">
        <f t="shared" si="600"/>
        <v>6.830907054871227E-2</v>
      </c>
      <c r="AW78" s="350"/>
      <c r="AX78" s="269">
        <f t="shared" ref="AX78:AY78" si="601">AX54-AX53</f>
        <v>4.6753539773422115E-2</v>
      </c>
      <c r="AY78" s="269">
        <f t="shared" si="601"/>
        <v>4.8599670510708348E-2</v>
      </c>
      <c r="AZ78" s="350"/>
      <c r="BA78" s="269">
        <f t="shared" ref="BA78:BB78" si="602">BA54-BA53</f>
        <v>5.8718311000604539E-2</v>
      </c>
      <c r="BB78" s="269">
        <f t="shared" si="602"/>
        <v>6.2307217766810696E-2</v>
      </c>
      <c r="BC78" s="350"/>
      <c r="BD78" s="269">
        <f t="shared" si="595"/>
        <v>4.9993042454053116E-2</v>
      </c>
      <c r="BE78" s="269">
        <f t="shared" si="595"/>
        <v>5.1412429378531077E-2</v>
      </c>
      <c r="BF78" s="350"/>
      <c r="BG78" s="313">
        <f t="shared" si="465"/>
        <v>6.046626853809027E-2</v>
      </c>
      <c r="BH78" s="313">
        <f t="shared" si="466"/>
        <v>6.3137559294601672E-2</v>
      </c>
      <c r="BI78" s="313"/>
    </row>
    <row r="79" spans="1:61" hidden="1" outlineLevel="1" x14ac:dyDescent="0.25">
      <c r="A79" s="284">
        <v>21</v>
      </c>
      <c r="B79" s="271">
        <f t="shared" ref="B79:BE79" si="603">B55-B54</f>
        <v>0.12403560830860538</v>
      </c>
      <c r="C79" s="271">
        <f t="shared" si="603"/>
        <v>0.13544668587896258</v>
      </c>
      <c r="D79" s="344"/>
      <c r="E79" s="271">
        <f t="shared" si="603"/>
        <v>0.23653639990392561</v>
      </c>
      <c r="F79" s="271">
        <f t="shared" si="603"/>
        <v>0.23809523809523814</v>
      </c>
      <c r="G79" s="344"/>
      <c r="H79" s="271">
        <f t="shared" si="603"/>
        <v>0.11990880721781172</v>
      </c>
      <c r="I79" s="271">
        <f t="shared" si="603"/>
        <v>0.11246200607902734</v>
      </c>
      <c r="J79" s="271"/>
      <c r="K79" s="270">
        <f t="shared" si="603"/>
        <v>0.12221222122212216</v>
      </c>
      <c r="L79" s="270">
        <f t="shared" si="603"/>
        <v>0.11468812877263579</v>
      </c>
      <c r="M79" s="270"/>
      <c r="N79" s="270">
        <f t="shared" si="603"/>
        <v>7.6042446575789402E-2</v>
      </c>
      <c r="O79" s="270">
        <f t="shared" si="603"/>
        <v>7.1514423076923128E-2</v>
      </c>
      <c r="P79" s="270"/>
      <c r="Q79" s="270">
        <f t="shared" si="603"/>
        <v>0.15280391900785384</v>
      </c>
      <c r="R79" s="270">
        <f t="shared" si="603"/>
        <v>0.14294330518697229</v>
      </c>
      <c r="S79" s="270"/>
      <c r="T79" s="270">
        <f t="shared" si="603"/>
        <v>0.11002462947759584</v>
      </c>
      <c r="U79" s="270">
        <f t="shared" si="603"/>
        <v>0.11487179487179489</v>
      </c>
      <c r="V79" s="270"/>
      <c r="W79" s="270">
        <f t="shared" si="603"/>
        <v>0.13387714680357565</v>
      </c>
      <c r="X79" s="270">
        <f t="shared" si="603"/>
        <v>0.1348837209302326</v>
      </c>
      <c r="Y79" s="270"/>
      <c r="Z79" s="270">
        <f t="shared" si="603"/>
        <v>8.8692650299751929E-2</v>
      </c>
      <c r="AA79" s="270">
        <f t="shared" si="603"/>
        <v>8.7500000000000022E-2</v>
      </c>
      <c r="AB79" s="270"/>
      <c r="AC79" s="270">
        <f t="shared" si="603"/>
        <v>0.16856102405649964</v>
      </c>
      <c r="AD79" s="270">
        <f t="shared" si="603"/>
        <v>0.15613382899628248</v>
      </c>
      <c r="AE79" s="270"/>
      <c r="AF79" s="270">
        <f t="shared" si="603"/>
        <v>0.14027822918798327</v>
      </c>
      <c r="AG79" s="270">
        <f t="shared" si="603"/>
        <v>0.13292253521126762</v>
      </c>
      <c r="AH79" s="270"/>
      <c r="AI79" s="270">
        <f t="shared" ref="AI79:AJ79" si="604">AI55-AI54</f>
        <v>8.8379121205991895E-2</v>
      </c>
      <c r="AJ79" s="270">
        <f t="shared" si="604"/>
        <v>8.98876404494382E-2</v>
      </c>
      <c r="AK79" s="270"/>
      <c r="AL79" s="270">
        <f t="shared" ref="AL79:AM79" si="605">AL55-AL54</f>
        <v>6.4812301403547989E-2</v>
      </c>
      <c r="AM79" s="270">
        <f t="shared" si="605"/>
        <v>7.7647058823529402E-2</v>
      </c>
      <c r="AN79" s="270"/>
      <c r="AO79" s="270">
        <f t="shared" ref="AO79:AP79" si="606">AO55-AO54</f>
        <v>0.11186124447015922</v>
      </c>
      <c r="AP79" s="270">
        <f t="shared" si="606"/>
        <v>0.11376021798365121</v>
      </c>
      <c r="AQ79" s="335"/>
      <c r="AR79" s="270">
        <f t="shared" ref="AR79:AS79" si="607">AR55-AR54</f>
        <v>8.0857650115524038E-2</v>
      </c>
      <c r="AS79" s="270">
        <f t="shared" si="607"/>
        <v>9.2496765847348006E-2</v>
      </c>
      <c r="AT79" s="335"/>
      <c r="AU79" s="270">
        <f t="shared" ref="AU79:AV79" si="608">AU55-AU54</f>
        <v>9.5306252970602801E-2</v>
      </c>
      <c r="AV79" s="270">
        <f t="shared" si="608"/>
        <v>0.10265024262784617</v>
      </c>
      <c r="AW79" s="335"/>
      <c r="AX79" s="270">
        <f t="shared" ref="AX79:AY79" si="609">AX55-AX54</f>
        <v>6.9027570601750909E-2</v>
      </c>
      <c r="AY79" s="270">
        <f t="shared" si="609"/>
        <v>7.7429983525535429E-2</v>
      </c>
      <c r="AZ79" s="335"/>
      <c r="BA79" s="270">
        <f t="shared" ref="BA79:BB79" si="610">BA55-BA54</f>
        <v>0.10043480338018973</v>
      </c>
      <c r="BB79" s="270">
        <f t="shared" si="610"/>
        <v>9.6853793954349121E-2</v>
      </c>
      <c r="BC79" s="335"/>
      <c r="BD79" s="270">
        <f t="shared" si="603"/>
        <v>9.007779187508147E-2</v>
      </c>
      <c r="BE79" s="270">
        <f t="shared" si="603"/>
        <v>9.2090395480226017E-2</v>
      </c>
      <c r="BF79" s="335"/>
      <c r="BG79" s="313">
        <f t="shared" si="465"/>
        <v>0.11741009347610937</v>
      </c>
      <c r="BH79" s="313">
        <f t="shared" si="466"/>
        <v>0.11760111101726484</v>
      </c>
      <c r="BI79" s="313"/>
    </row>
    <row r="80" spans="1:61" hidden="1" outlineLevel="1" x14ac:dyDescent="0.25">
      <c r="A80" s="284"/>
      <c r="BG80" s="12"/>
      <c r="BH80" s="12"/>
      <c r="BI80" s="12"/>
    </row>
    <row r="81" spans="1:163" hidden="1" outlineLevel="1" x14ac:dyDescent="0.25">
      <c r="A81" s="325" t="s">
        <v>285</v>
      </c>
      <c r="W81" s="20"/>
      <c r="AD81" s="20"/>
      <c r="AE81" s="20"/>
      <c r="AL81" s="1005" t="s">
        <v>315</v>
      </c>
      <c r="AM81" s="1005"/>
      <c r="AN81" s="1005"/>
      <c r="AO81" s="991"/>
      <c r="AP81" s="991"/>
      <c r="AQ81" s="353"/>
      <c r="AR81" s="991"/>
      <c r="AS81" s="991"/>
      <c r="AT81" s="353"/>
      <c r="AU81" s="991"/>
      <c r="AV81" s="991"/>
      <c r="AW81" s="353"/>
      <c r="AX81" s="991" t="s">
        <v>201</v>
      </c>
      <c r="AY81" s="991"/>
      <c r="AZ81" s="353"/>
      <c r="BA81" s="991" t="s">
        <v>201</v>
      </c>
      <c r="BB81" s="991"/>
      <c r="BC81" s="353"/>
      <c r="BD81" s="991" t="s">
        <v>201</v>
      </c>
      <c r="BE81" s="991"/>
      <c r="BF81" s="353"/>
    </row>
    <row r="82" spans="1:163" hidden="1" outlineLevel="1" x14ac:dyDescent="0.25">
      <c r="A82" s="234" t="s">
        <v>24</v>
      </c>
      <c r="B82" s="273" t="str">
        <f>Tabelle3[[#Headers],[Ned (€)]]</f>
        <v>Ned (€)</v>
      </c>
      <c r="C82" s="274" t="str">
        <f>C$8</f>
        <v>Ned (Backer)</v>
      </c>
      <c r="D82" s="337" t="str">
        <f t="shared" ref="D82:BF82" si="611">D$8</f>
        <v>Ned (€/B)</v>
      </c>
      <c r="E82" s="276" t="str">
        <f t="shared" si="611"/>
        <v>Werkzeuge (€)</v>
      </c>
      <c r="F82" s="277" t="str">
        <f t="shared" si="611"/>
        <v>Werkzeuge (Backer)</v>
      </c>
      <c r="G82" s="373" t="str">
        <f t="shared" si="611"/>
        <v>Werkz (€/B)</v>
      </c>
      <c r="H82" s="280" t="str">
        <f t="shared" si="611"/>
        <v>DSK Fasar (€)</v>
      </c>
      <c r="I82" s="281" t="str">
        <f t="shared" si="611"/>
        <v>DSK Fasar (Backer)</v>
      </c>
      <c r="J82" s="282" t="str">
        <f t="shared" si="611"/>
        <v>DSK Fasar (€/B)</v>
      </c>
      <c r="K82" s="273" t="str">
        <f t="shared" si="611"/>
        <v>Mythen (€)</v>
      </c>
      <c r="L82" s="274" t="str">
        <f t="shared" si="611"/>
        <v>Mythen (Backer)</v>
      </c>
      <c r="M82" s="274" t="str">
        <f t="shared" si="611"/>
        <v>Mythen (€/B)</v>
      </c>
      <c r="N82" s="278" t="str">
        <f t="shared" si="611"/>
        <v>SOK (€)</v>
      </c>
      <c r="O82" s="279" t="str">
        <f t="shared" si="611"/>
        <v>SOK (Backer)</v>
      </c>
      <c r="P82" s="279" t="str">
        <f t="shared" si="611"/>
        <v>SOK (€/B)</v>
      </c>
      <c r="Q82" s="275" t="str">
        <f t="shared" si="611"/>
        <v>RE (€)</v>
      </c>
      <c r="R82" s="275" t="str">
        <f t="shared" si="611"/>
        <v>RE (Backer)</v>
      </c>
      <c r="S82" s="275" t="str">
        <f t="shared" si="611"/>
        <v>RE (€/B)</v>
      </c>
      <c r="T82" s="275" t="str">
        <f t="shared" si="611"/>
        <v>DGG (€)</v>
      </c>
      <c r="U82" s="275" t="str">
        <f t="shared" si="611"/>
        <v>DGG (Backer)</v>
      </c>
      <c r="V82" s="275" t="str">
        <f t="shared" si="611"/>
        <v>DGG (€/B)</v>
      </c>
      <c r="W82" s="280" t="str">
        <f t="shared" si="611"/>
        <v>DSK SV (€)</v>
      </c>
      <c r="X82" s="281" t="str">
        <f t="shared" si="611"/>
        <v>DSK SV (Backer)</v>
      </c>
      <c r="Y82" s="282" t="str">
        <f t="shared" si="611"/>
        <v>DSK SV (€/B)</v>
      </c>
      <c r="Z82" s="278" t="str">
        <f t="shared" si="611"/>
        <v>WW (€)</v>
      </c>
      <c r="AA82" s="279" t="str">
        <f t="shared" si="611"/>
        <v>WW (Backer)</v>
      </c>
      <c r="AB82" s="279" t="str">
        <f t="shared" si="611"/>
        <v>WW (€/B)</v>
      </c>
      <c r="AC82" s="280" t="str">
        <f t="shared" si="611"/>
        <v>DSK R (€)</v>
      </c>
      <c r="AD82" s="281" t="str">
        <f t="shared" si="611"/>
        <v>DSK R (Backer)</v>
      </c>
      <c r="AE82" s="282" t="str">
        <f t="shared" si="611"/>
        <v>DSK R (€/B)</v>
      </c>
      <c r="AF82" s="275" t="str">
        <f t="shared" si="611"/>
        <v>Ära (€)</v>
      </c>
      <c r="AG82" s="275" t="str">
        <f t="shared" si="611"/>
        <v>Ära (Backer)</v>
      </c>
      <c r="AH82" s="275" t="str">
        <f t="shared" si="611"/>
        <v>Ära (€/B)</v>
      </c>
      <c r="AI82" s="275" t="str">
        <f t="shared" si="611"/>
        <v>Mosaik (€)</v>
      </c>
      <c r="AJ82" s="275" t="str">
        <f t="shared" si="611"/>
        <v>Mosaik (Backer)</v>
      </c>
      <c r="AK82" s="275" t="str">
        <f t="shared" si="611"/>
        <v>Mosaik (€/B)</v>
      </c>
      <c r="AL82" s="280" t="str">
        <f t="shared" si="611"/>
        <v>DSK ES (€)</v>
      </c>
      <c r="AM82" s="281" t="str">
        <f t="shared" si="611"/>
        <v>DSK ES (Backer)</v>
      </c>
      <c r="AN82" s="282" t="str">
        <f t="shared" si="611"/>
        <v>DSK ES (€/B)</v>
      </c>
      <c r="AO82" s="278" t="str">
        <f t="shared" si="611"/>
        <v>ES (€)</v>
      </c>
      <c r="AP82" s="279" t="str">
        <f t="shared" si="611"/>
        <v>ES (Backer)</v>
      </c>
      <c r="AQ82" s="389" t="str">
        <f t="shared" si="611"/>
        <v>ES (€/B)</v>
      </c>
      <c r="AR82" s="278" t="str">
        <f t="shared" si="611"/>
        <v>WF (€)</v>
      </c>
      <c r="AS82" s="279" t="str">
        <f t="shared" si="611"/>
        <v>WF(Backer)</v>
      </c>
      <c r="AT82" s="389" t="str">
        <f t="shared" si="611"/>
        <v>WF (€/B)</v>
      </c>
      <c r="AU82" s="653" t="str">
        <f t="shared" si="611"/>
        <v>AKM (€)</v>
      </c>
      <c r="AV82" s="274" t="str">
        <f t="shared" si="611"/>
        <v>AKM(Backer)</v>
      </c>
      <c r="AW82" s="274" t="str">
        <f t="shared" si="611"/>
        <v>AKM (€/B)</v>
      </c>
      <c r="AX82" s="275" t="str">
        <f t="shared" si="611"/>
        <v>Lex (€)</v>
      </c>
      <c r="AY82" s="275" t="str">
        <f t="shared" si="611"/>
        <v>Lex(Backer)</v>
      </c>
      <c r="AZ82" s="654" t="str">
        <f t="shared" si="611"/>
        <v>Lex(€/B)</v>
      </c>
      <c r="BA82" s="275" t="str">
        <f t="shared" si="611"/>
        <v>KA (€)</v>
      </c>
      <c r="BB82" s="275" t="str">
        <f t="shared" si="611"/>
        <v>KA (Backer)</v>
      </c>
      <c r="BC82" s="654" t="str">
        <f t="shared" si="611"/>
        <v>KA (€/B)</v>
      </c>
      <c r="BD82" s="805" t="str">
        <f t="shared" si="611"/>
        <v>MAR (€)</v>
      </c>
      <c r="BE82" s="805" t="str">
        <f t="shared" si="611"/>
        <v>MAR (Backer)</v>
      </c>
      <c r="BF82" s="806" t="str">
        <f t="shared" si="611"/>
        <v>MAR (€/B)</v>
      </c>
      <c r="BG82" s="1006" t="s">
        <v>202</v>
      </c>
      <c r="BH82" s="1006"/>
      <c r="BI82" s="1006"/>
      <c r="BJ82" s="1006"/>
      <c r="CE82" s="167"/>
      <c r="CF82" s="166"/>
      <c r="CG82" s="166"/>
      <c r="CH82" s="166"/>
      <c r="CI82" s="166"/>
      <c r="CJ82" s="166"/>
      <c r="CK82" s="166"/>
      <c r="CL82" s="166"/>
      <c r="CM82" s="166"/>
      <c r="CN82" s="166"/>
      <c r="CO82" s="166"/>
      <c r="CP82" s="166"/>
      <c r="CQ82" s="166"/>
      <c r="CR82" s="166"/>
      <c r="CS82" s="166"/>
      <c r="CT82" s="166"/>
      <c r="CU82" s="166"/>
      <c r="CV82" s="166"/>
      <c r="CW82" s="166"/>
      <c r="CX82" s="166"/>
      <c r="CY82" s="166"/>
      <c r="CZ82" s="166"/>
      <c r="DA82" s="166"/>
      <c r="DB82" s="166"/>
      <c r="DC82" s="166"/>
      <c r="DD82" s="166"/>
      <c r="DE82" s="166"/>
      <c r="DF82" s="166"/>
      <c r="DG82" s="166"/>
      <c r="DH82" s="166"/>
      <c r="DI82" s="166"/>
      <c r="DJ82" s="166"/>
      <c r="DK82" s="166"/>
      <c r="DL82" s="166"/>
      <c r="DM82" s="166"/>
      <c r="DN82" s="166"/>
      <c r="DO82" s="166"/>
      <c r="DP82" s="166"/>
      <c r="DQ82" s="166"/>
      <c r="DR82" s="166"/>
      <c r="DS82" s="166"/>
      <c r="DT82" s="166"/>
      <c r="DU82" s="166"/>
      <c r="DV82" s="166"/>
      <c r="DW82" s="166"/>
      <c r="DX82" s="166"/>
      <c r="DY82" s="166"/>
      <c r="DZ82" s="166"/>
      <c r="EA82" s="166"/>
      <c r="EB82" s="166"/>
      <c r="EC82" s="166"/>
      <c r="ED82" s="166"/>
      <c r="EE82" s="166"/>
      <c r="EF82" s="166"/>
      <c r="EG82" s="166"/>
      <c r="EH82" s="166"/>
      <c r="EI82" s="166"/>
      <c r="EJ82" s="166"/>
      <c r="EK82" s="166"/>
      <c r="EL82" s="166"/>
      <c r="FB82" s="166"/>
      <c r="FC82" s="166"/>
      <c r="FD82" s="166"/>
      <c r="FE82" s="166"/>
      <c r="FF82" s="166"/>
      <c r="FG82" s="166"/>
    </row>
    <row r="83" spans="1:163" hidden="1" outlineLevel="2" x14ac:dyDescent="0.25">
      <c r="A83" s="333">
        <v>1</v>
      </c>
      <c r="B83" s="270"/>
      <c r="C83" s="270"/>
      <c r="D83" s="338"/>
      <c r="E83" s="270"/>
      <c r="F83" s="270"/>
      <c r="G83" s="338"/>
      <c r="H83" s="270"/>
      <c r="I83" s="270"/>
      <c r="J83" s="270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0"/>
      <c r="AI83" s="270"/>
      <c r="AJ83" s="270"/>
      <c r="AK83" s="270"/>
      <c r="AL83" s="270"/>
      <c r="AM83" s="270"/>
      <c r="AN83" s="270"/>
      <c r="AO83" s="270"/>
      <c r="AP83" s="270"/>
      <c r="AQ83" s="335"/>
      <c r="AR83" s="270"/>
      <c r="AS83" s="270"/>
      <c r="AT83" s="335"/>
      <c r="AU83" s="270"/>
      <c r="AV83" s="270"/>
      <c r="AW83" s="335"/>
      <c r="AX83" s="270"/>
      <c r="AY83" s="270"/>
      <c r="AZ83" s="335"/>
      <c r="BA83" s="270"/>
      <c r="BB83" s="270"/>
      <c r="BC83" s="335"/>
      <c r="BD83" s="270"/>
      <c r="BE83" s="270"/>
      <c r="BF83" s="335"/>
      <c r="BG83" s="313"/>
      <c r="BH83" s="313"/>
      <c r="BI83" s="313"/>
    </row>
    <row r="84" spans="1:163" hidden="1" outlineLevel="2" x14ac:dyDescent="0.25">
      <c r="A84" s="333">
        <v>2</v>
      </c>
      <c r="B84" s="270"/>
      <c r="C84" s="270"/>
      <c r="D84" s="338"/>
      <c r="E84" s="270"/>
      <c r="F84" s="270"/>
      <c r="G84" s="338"/>
      <c r="H84" s="270"/>
      <c r="I84" s="270"/>
      <c r="J84" s="2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0"/>
      <c r="AI84" s="270"/>
      <c r="AJ84" s="270"/>
      <c r="AK84" s="270"/>
      <c r="AL84" s="270"/>
      <c r="AM84" s="270"/>
      <c r="AN84" s="270"/>
      <c r="AO84" s="270"/>
      <c r="AP84" s="270"/>
      <c r="AQ84" s="335"/>
      <c r="AR84" s="270"/>
      <c r="AS84" s="270"/>
      <c r="AT84" s="335"/>
      <c r="AU84" s="270"/>
      <c r="AV84" s="270"/>
      <c r="AW84" s="335"/>
      <c r="AX84" s="270"/>
      <c r="AY84" s="270"/>
      <c r="AZ84" s="335"/>
      <c r="BA84" s="270"/>
      <c r="BB84" s="270"/>
      <c r="BC84" s="335"/>
      <c r="BD84" s="270"/>
      <c r="BE84" s="270"/>
      <c r="BF84" s="335"/>
      <c r="BG84" s="313"/>
      <c r="BH84" s="313"/>
      <c r="BI84" s="313"/>
    </row>
    <row r="85" spans="1:163" hidden="1" outlineLevel="2" x14ac:dyDescent="0.25">
      <c r="A85" s="333">
        <v>3</v>
      </c>
      <c r="B85" s="270"/>
      <c r="C85" s="270"/>
      <c r="D85" s="338"/>
      <c r="E85" s="270"/>
      <c r="F85" s="270"/>
      <c r="G85" s="338"/>
      <c r="H85" s="270"/>
      <c r="I85" s="270"/>
      <c r="J85" s="270"/>
      <c r="K85" s="270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270"/>
      <c r="AL85" s="270"/>
      <c r="AM85" s="270"/>
      <c r="AN85" s="270"/>
      <c r="AO85" s="270"/>
      <c r="AP85" s="270"/>
      <c r="AQ85" s="335"/>
      <c r="AR85" s="270"/>
      <c r="AS85" s="270"/>
      <c r="AT85" s="335"/>
      <c r="AU85" s="270"/>
      <c r="AV85" s="270"/>
      <c r="AW85" s="335"/>
      <c r="AX85" s="270"/>
      <c r="AY85" s="270"/>
      <c r="AZ85" s="335"/>
      <c r="BA85" s="270"/>
      <c r="BB85" s="270"/>
      <c r="BC85" s="335"/>
      <c r="BD85" s="270"/>
      <c r="BE85" s="270"/>
      <c r="BF85" s="335"/>
      <c r="BG85" s="313"/>
      <c r="BH85" s="313"/>
      <c r="BI85" s="313"/>
    </row>
    <row r="86" spans="1:163" hidden="1" outlineLevel="2" x14ac:dyDescent="0.25">
      <c r="A86" s="333">
        <v>4</v>
      </c>
      <c r="B86" s="270"/>
      <c r="C86" s="270"/>
      <c r="D86" s="338"/>
      <c r="E86" s="270"/>
      <c r="F86" s="270"/>
      <c r="G86" s="338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270"/>
      <c r="S86" s="270"/>
      <c r="T86" s="270"/>
      <c r="U86" s="270"/>
      <c r="V86" s="270"/>
      <c r="W86" s="270"/>
      <c r="X86" s="270"/>
      <c r="Y86" s="270"/>
      <c r="Z86" s="270"/>
      <c r="AA86" s="270"/>
      <c r="AB86" s="270"/>
      <c r="AC86" s="270"/>
      <c r="AD86" s="270"/>
      <c r="AE86" s="270"/>
      <c r="AF86" s="270"/>
      <c r="AG86" s="270"/>
      <c r="AH86" s="270"/>
      <c r="AI86" s="270"/>
      <c r="AJ86" s="270"/>
      <c r="AK86" s="270"/>
      <c r="AL86" s="270"/>
      <c r="AM86" s="270"/>
      <c r="AN86" s="270"/>
      <c r="AO86" s="270"/>
      <c r="AP86" s="270"/>
      <c r="AQ86" s="335"/>
      <c r="AR86" s="270"/>
      <c r="AS86" s="270"/>
      <c r="AT86" s="335"/>
      <c r="AU86" s="270"/>
      <c r="AV86" s="270"/>
      <c r="AW86" s="335"/>
      <c r="AX86" s="270"/>
      <c r="AY86" s="270"/>
      <c r="AZ86" s="335"/>
      <c r="BA86" s="270"/>
      <c r="BB86" s="270"/>
      <c r="BC86" s="335"/>
      <c r="BD86" s="270"/>
      <c r="BE86" s="270"/>
      <c r="BF86" s="335"/>
      <c r="BG86" s="313"/>
      <c r="BH86" s="313"/>
      <c r="BI86" s="313"/>
    </row>
    <row r="87" spans="1:163" hidden="1" outlineLevel="2" x14ac:dyDescent="0.25">
      <c r="A87" s="333">
        <v>5</v>
      </c>
      <c r="B87" s="270"/>
      <c r="C87" s="270"/>
      <c r="D87" s="338"/>
      <c r="E87" s="270"/>
      <c r="F87" s="270"/>
      <c r="G87" s="338"/>
      <c r="H87" s="270"/>
      <c r="I87" s="270"/>
      <c r="J87" s="270"/>
      <c r="K87" s="270"/>
      <c r="L87" s="270"/>
      <c r="M87" s="270"/>
      <c r="N87" s="270"/>
      <c r="O87" s="270"/>
      <c r="P87" s="270"/>
      <c r="Q87" s="270"/>
      <c r="R87" s="270"/>
      <c r="S87" s="270"/>
      <c r="T87" s="270"/>
      <c r="U87" s="270"/>
      <c r="V87" s="270"/>
      <c r="W87" s="270"/>
      <c r="X87" s="270"/>
      <c r="Y87" s="270"/>
      <c r="Z87" s="270"/>
      <c r="AA87" s="270"/>
      <c r="AB87" s="270"/>
      <c r="AC87" s="270"/>
      <c r="AD87" s="270"/>
      <c r="AE87" s="270"/>
      <c r="AF87" s="270"/>
      <c r="AG87" s="270"/>
      <c r="AH87" s="270"/>
      <c r="AI87" s="270"/>
      <c r="AJ87" s="270"/>
      <c r="AK87" s="270"/>
      <c r="AL87" s="270"/>
      <c r="AM87" s="270"/>
      <c r="AN87" s="270"/>
      <c r="AO87" s="270"/>
      <c r="AP87" s="270"/>
      <c r="AQ87" s="335"/>
      <c r="AR87" s="270"/>
      <c r="AS87" s="270"/>
      <c r="AT87" s="335"/>
      <c r="AU87" s="270"/>
      <c r="AV87" s="270"/>
      <c r="AW87" s="335"/>
      <c r="AX87" s="270"/>
      <c r="AY87" s="270"/>
      <c r="AZ87" s="335"/>
      <c r="BA87" s="270"/>
      <c r="BB87" s="270"/>
      <c r="BC87" s="335"/>
      <c r="BD87" s="270"/>
      <c r="BE87" s="270"/>
      <c r="BF87" s="335"/>
      <c r="BG87" s="313"/>
      <c r="BH87" s="313"/>
      <c r="BI87" s="313"/>
    </row>
    <row r="88" spans="1:163" hidden="1" outlineLevel="2" x14ac:dyDescent="0.25">
      <c r="A88" s="833">
        <v>6</v>
      </c>
      <c r="B88" s="270">
        <f t="shared" ref="B88:C103" si="612">B64/SUM(B$64:B$79)</f>
        <v>1.6930719988136157E-2</v>
      </c>
      <c r="C88" s="270">
        <f t="shared" si="612"/>
        <v>1.694915254237285E-2</v>
      </c>
      <c r="D88" s="338"/>
      <c r="E88" s="270">
        <f t="shared" ref="E88:F103" si="613">E64/SUM(E$64:E$79)</f>
        <v>1.8896510698417971E-2</v>
      </c>
      <c r="F88" s="270">
        <f t="shared" si="613"/>
        <v>2.0325203252032562E-2</v>
      </c>
      <c r="G88" s="338"/>
      <c r="H88" s="270">
        <f t="shared" ref="H88:I103" si="614">H64/SUM(H$64:H$79)</f>
        <v>4.2039736189000636E-2</v>
      </c>
      <c r="I88" s="270">
        <f t="shared" si="614"/>
        <v>3.7037037037036993E-2</v>
      </c>
      <c r="J88" s="270"/>
      <c r="K88" s="270">
        <f t="shared" ref="K88:L103" si="615">K64/SUM(K$64:K$79)</f>
        <v>8.4713264772529162E-2</v>
      </c>
      <c r="L88" s="270">
        <f t="shared" si="615"/>
        <v>9.4771241830065342E-2</v>
      </c>
      <c r="M88" s="270"/>
      <c r="N88" s="270">
        <f t="shared" ref="N88:O103" si="616">N64/SUM(N$64:N$79)</f>
        <v>4.0063820116323284E-2</v>
      </c>
      <c r="O88" s="270">
        <f t="shared" si="616"/>
        <v>4.6916890080428972E-2</v>
      </c>
      <c r="P88" s="270"/>
      <c r="Q88" s="270">
        <f t="shared" ref="Q88:R103" si="617">Q64/SUM(Q$64:Q$79)</f>
        <v>7.3325467592502983E-2</v>
      </c>
      <c r="R88" s="270">
        <f t="shared" si="617"/>
        <v>8.043875685557586E-2</v>
      </c>
      <c r="S88" s="270"/>
      <c r="T88" s="270">
        <f t="shared" ref="T88:U103" si="618">T64/SUM(T$64:T$79)</f>
        <v>2.5481262718121383E-2</v>
      </c>
      <c r="U88" s="270">
        <f t="shared" si="618"/>
        <v>2.3012552301255016E-2</v>
      </c>
      <c r="V88" s="270"/>
      <c r="W88" s="270">
        <f t="shared" ref="W88:X103" si="619">W64/SUM(W$64:W$79)</f>
        <v>1.695993216027137E-2</v>
      </c>
      <c r="X88" s="270">
        <f t="shared" si="619"/>
        <v>1.4634146341463457E-2</v>
      </c>
      <c r="Y88" s="270"/>
      <c r="Z88" s="270">
        <f t="shared" ref="Z88:AA103" si="620">Z64/SUM(Z$64:Z$79)</f>
        <v>5.7140861525957487E-2</v>
      </c>
      <c r="AA88" s="270">
        <f t="shared" si="620"/>
        <v>6.4825930372148857E-2</v>
      </c>
      <c r="AB88" s="270"/>
      <c r="AC88" s="270">
        <f t="shared" ref="AC88:AD103" si="621">AC64/SUM(AC$64:AC$79)</f>
        <v>5.7551923892054831E-2</v>
      </c>
      <c r="AD88" s="270">
        <f t="shared" si="621"/>
        <v>4.575163398692806E-2</v>
      </c>
      <c r="AE88" s="270"/>
      <c r="AF88" s="270">
        <f t="shared" ref="AF88:AG103" si="622">AF64/SUM(AF$64:AF$79)</f>
        <v>5.6728931063869024E-2</v>
      </c>
      <c r="AG88" s="270">
        <f t="shared" si="622"/>
        <v>5.6050955414012747E-2</v>
      </c>
      <c r="AH88" s="270"/>
      <c r="AI88" s="270">
        <f t="shared" ref="AI88:AJ103" si="623">AI64/SUM(AI$64:AI$79)</f>
        <v>3.976356797420743E-2</v>
      </c>
      <c r="AJ88" s="270">
        <f t="shared" si="623"/>
        <v>4.0293040293040316E-2</v>
      </c>
      <c r="AK88" s="270"/>
      <c r="AL88" s="270">
        <f t="shared" ref="AL88:AM95" si="624">AL64/SUM(AL$66:AL$79)</f>
        <v>0</v>
      </c>
      <c r="AM88" s="270">
        <f t="shared" si="624"/>
        <v>0</v>
      </c>
      <c r="AN88" s="270"/>
      <c r="AO88" s="270">
        <f t="shared" ref="AO88:AP103" si="625">AO64/SUM(AO$64:AO$79)</f>
        <v>5.4897071754658515E-2</v>
      </c>
      <c r="AP88" s="270">
        <f t="shared" si="625"/>
        <v>5.5762081784386582E-2</v>
      </c>
      <c r="AQ88" s="335"/>
      <c r="AR88" s="270">
        <f t="shared" ref="AR88:AS103" si="626">AR64/SUM(AR$64:AR$79)</f>
        <v>3.7108752603945992E-2</v>
      </c>
      <c r="AS88" s="270">
        <f t="shared" si="626"/>
        <v>4.1005291005290871E-2</v>
      </c>
      <c r="AT88" s="335"/>
      <c r="AU88" s="270">
        <f t="shared" ref="AU88:AV103" si="627">AU64/SUM(AU$64:AU$79)</f>
        <v>6.6447952567092711E-2</v>
      </c>
      <c r="AV88" s="270">
        <f t="shared" si="627"/>
        <v>7.4486301369862923E-2</v>
      </c>
      <c r="AW88" s="335"/>
      <c r="AX88" s="270">
        <f t="shared" ref="AX88:AY103" si="628">AX64/SUM(AX$64:AX$79)</f>
        <v>5.1018897356820213E-2</v>
      </c>
      <c r="AY88" s="270">
        <f t="shared" si="628"/>
        <v>5.3191489361702135E-2</v>
      </c>
      <c r="AZ88" s="335"/>
      <c r="BA88" s="270">
        <f t="shared" ref="BA88:BB103" si="629">BA64/SUM(BA$64:BA$79)</f>
        <v>5.9987158351148304E-2</v>
      </c>
      <c r="BB88" s="270">
        <f t="shared" si="629"/>
        <v>6.0080106809078763E-2</v>
      </c>
      <c r="BC88" s="335"/>
      <c r="BD88" s="270">
        <f t="shared" ref="BD88:BE103" si="630">BD64/SUM(BD$64:BD$79)</f>
        <v>5.518436937343945E-2</v>
      </c>
      <c r="BE88" s="270">
        <f t="shared" si="630"/>
        <v>5.3817271589486827E-2</v>
      </c>
      <c r="BF88" s="335"/>
      <c r="BG88" s="313">
        <f t="shared" ref="BG88:BG103" si="631">AVERAGE(B88,E88,H88,K88,N88,Q88,T88,W88,Z88,AC88,AI88,AO88,AR88,AU88,AX88,BA88)</f>
        <v>4.6395431266324276E-2</v>
      </c>
      <c r="BH88" s="313">
        <f t="shared" ref="BH88:BH103" si="632">AVERAGE(C88,F88,I88,L88,O88,R88,U88,X88,AA88,AD88,AJ88,AP88,AS88,AV88,AY88,BB88)</f>
        <v>4.8092553451416845E-2</v>
      </c>
      <c r="BI88" s="313"/>
    </row>
    <row r="89" spans="1:163" hidden="1" outlineLevel="2" x14ac:dyDescent="0.25">
      <c r="A89" s="833">
        <v>7</v>
      </c>
      <c r="B89" s="270">
        <f t="shared" si="612"/>
        <v>3.9768654687461331E-2</v>
      </c>
      <c r="C89" s="270">
        <f t="shared" si="612"/>
        <v>3.8135593220338999E-2</v>
      </c>
      <c r="D89" s="338"/>
      <c r="E89" s="270">
        <f t="shared" si="613"/>
        <v>4.1594631271726829E-2</v>
      </c>
      <c r="F89" s="270">
        <f t="shared" si="613"/>
        <v>4.268292682926831E-2</v>
      </c>
      <c r="G89" s="338"/>
      <c r="H89" s="270">
        <f t="shared" si="614"/>
        <v>2.9507342556663131E-2</v>
      </c>
      <c r="I89" s="270">
        <f t="shared" si="614"/>
        <v>3.703703703703709E-2</v>
      </c>
      <c r="J89" s="270"/>
      <c r="K89" s="270">
        <f t="shared" si="615"/>
        <v>4.7795014816105978E-2</v>
      </c>
      <c r="L89" s="270">
        <f t="shared" si="615"/>
        <v>5.2287581699346386E-2</v>
      </c>
      <c r="M89" s="270"/>
      <c r="N89" s="270">
        <f t="shared" si="616"/>
        <v>0.10856840718718408</v>
      </c>
      <c r="O89" s="270">
        <f t="shared" si="616"/>
        <v>0.12198391420911528</v>
      </c>
      <c r="P89" s="270"/>
      <c r="Q89" s="270">
        <f t="shared" si="617"/>
        <v>5.2354886752674031E-2</v>
      </c>
      <c r="R89" s="270">
        <f t="shared" si="617"/>
        <v>5.2102376599634376E-2</v>
      </c>
      <c r="S89" s="270"/>
      <c r="T89" s="270">
        <f t="shared" si="618"/>
        <v>3.1648988853073032E-2</v>
      </c>
      <c r="U89" s="270">
        <f t="shared" si="618"/>
        <v>3.138075313807543E-2</v>
      </c>
      <c r="V89" s="270"/>
      <c r="W89" s="270">
        <f t="shared" si="619"/>
        <v>6.3048547805808763E-2</v>
      </c>
      <c r="X89" s="270">
        <f t="shared" si="619"/>
        <v>5.1219512195121969E-2</v>
      </c>
      <c r="Y89" s="270"/>
      <c r="Z89" s="270">
        <f t="shared" si="620"/>
        <v>5.6747180737580012E-2</v>
      </c>
      <c r="AA89" s="270">
        <f t="shared" si="620"/>
        <v>6.2424969987995196E-2</v>
      </c>
      <c r="AB89" s="270"/>
      <c r="AC89" s="270">
        <f t="shared" si="621"/>
        <v>2.3077285357697926E-2</v>
      </c>
      <c r="AD89" s="270">
        <f t="shared" si="621"/>
        <v>2.614379084967329E-2</v>
      </c>
      <c r="AE89" s="270"/>
      <c r="AF89" s="270">
        <f t="shared" si="622"/>
        <v>5.2087891839601955E-2</v>
      </c>
      <c r="AG89" s="270">
        <f t="shared" si="622"/>
        <v>5.0955414012738863E-2</v>
      </c>
      <c r="AH89" s="270"/>
      <c r="AI89" s="270">
        <f t="shared" si="623"/>
        <v>5.2506333000690984E-2</v>
      </c>
      <c r="AJ89" s="270">
        <f t="shared" si="623"/>
        <v>5.128205128205144E-2</v>
      </c>
      <c r="AK89" s="270"/>
      <c r="AL89" s="270">
        <f t="shared" si="624"/>
        <v>0</v>
      </c>
      <c r="AM89" s="270">
        <f t="shared" si="624"/>
        <v>0</v>
      </c>
      <c r="AN89" s="270"/>
      <c r="AO89" s="270">
        <f t="shared" si="625"/>
        <v>4.2424023416326423E-2</v>
      </c>
      <c r="AP89" s="270">
        <f t="shared" si="625"/>
        <v>4.9566294919454794E-2</v>
      </c>
      <c r="AQ89" s="335"/>
      <c r="AR89" s="270">
        <f t="shared" si="626"/>
        <v>4.9453996756484354E-2</v>
      </c>
      <c r="AS89" s="270">
        <f t="shared" si="626"/>
        <v>4.4973544973545124E-2</v>
      </c>
      <c r="AT89" s="335"/>
      <c r="AU89" s="270">
        <f t="shared" si="627"/>
        <v>4.535383015059187E-2</v>
      </c>
      <c r="AV89" s="270">
        <f t="shared" si="627"/>
        <v>5.1369863013698815E-2</v>
      </c>
      <c r="AW89" s="335"/>
      <c r="AX89" s="270">
        <f t="shared" si="628"/>
        <v>3.5491406856918477E-2</v>
      </c>
      <c r="AY89" s="270">
        <f t="shared" si="628"/>
        <v>3.4954407294832839E-2</v>
      </c>
      <c r="AZ89" s="335"/>
      <c r="BA89" s="270">
        <f t="shared" si="629"/>
        <v>5.0345243370099817E-2</v>
      </c>
      <c r="BB89" s="270">
        <f t="shared" si="629"/>
        <v>5.0734312416555467E-2</v>
      </c>
      <c r="BC89" s="335"/>
      <c r="BD89" s="270">
        <f t="shared" si="630"/>
        <v>3.1782835973845354E-2</v>
      </c>
      <c r="BE89" s="270">
        <f t="shared" si="630"/>
        <v>3.2540675844806147E-2</v>
      </c>
      <c r="BF89" s="335"/>
      <c r="BG89" s="313">
        <f t="shared" si="631"/>
        <v>4.8105360848567938E-2</v>
      </c>
      <c r="BH89" s="313">
        <f t="shared" si="632"/>
        <v>4.9892433104109048E-2</v>
      </c>
      <c r="BI89" s="313"/>
    </row>
    <row r="90" spans="1:163" hidden="1" outlineLevel="2" x14ac:dyDescent="0.25">
      <c r="A90" s="833">
        <v>8</v>
      </c>
      <c r="B90" s="270">
        <f t="shared" si="612"/>
        <v>6.1766232482265988E-2</v>
      </c>
      <c r="C90" s="270">
        <f t="shared" si="612"/>
        <v>5.0847457627118633E-2</v>
      </c>
      <c r="D90" s="338"/>
      <c r="E90" s="270">
        <f t="shared" si="613"/>
        <v>2.9371851356124426E-2</v>
      </c>
      <c r="F90" s="270">
        <f t="shared" si="613"/>
        <v>2.6422764227642209E-2</v>
      </c>
      <c r="G90" s="338"/>
      <c r="H90" s="270">
        <f t="shared" si="614"/>
        <v>3.8584415406342963E-2</v>
      </c>
      <c r="I90" s="270">
        <f t="shared" si="614"/>
        <v>4.497354497354495E-2</v>
      </c>
      <c r="J90" s="270"/>
      <c r="K90" s="270">
        <f t="shared" si="615"/>
        <v>6.1757015861948761E-2</v>
      </c>
      <c r="L90" s="270">
        <f t="shared" si="615"/>
        <v>5.5555555555555552E-2</v>
      </c>
      <c r="M90" s="270"/>
      <c r="N90" s="270">
        <f t="shared" si="616"/>
        <v>6.3606764190235893E-2</v>
      </c>
      <c r="O90" s="270">
        <f t="shared" si="616"/>
        <v>5.3619302949061719E-2</v>
      </c>
      <c r="P90" s="270"/>
      <c r="Q90" s="270">
        <f t="shared" si="617"/>
        <v>7.1050850080269276E-2</v>
      </c>
      <c r="R90" s="270">
        <f t="shared" si="617"/>
        <v>7.5868372943327267E-2</v>
      </c>
      <c r="S90" s="270"/>
      <c r="T90" s="270">
        <f t="shared" si="618"/>
        <v>3.0046280455961392E-2</v>
      </c>
      <c r="U90" s="270">
        <f t="shared" si="618"/>
        <v>3.3472803347280311E-2</v>
      </c>
      <c r="V90" s="270"/>
      <c r="W90" s="270">
        <f t="shared" si="619"/>
        <v>6.3076814359409192E-2</v>
      </c>
      <c r="X90" s="270">
        <f t="shared" si="619"/>
        <v>6.097560975609749E-2</v>
      </c>
      <c r="Y90" s="270"/>
      <c r="Z90" s="270">
        <f t="shared" si="620"/>
        <v>5.3362795895560373E-2</v>
      </c>
      <c r="AA90" s="270">
        <f t="shared" si="620"/>
        <v>4.921968787515011E-2</v>
      </c>
      <c r="AB90" s="270"/>
      <c r="AC90" s="270">
        <f t="shared" si="621"/>
        <v>4.4506193189846055E-2</v>
      </c>
      <c r="AD90" s="270">
        <f t="shared" si="621"/>
        <v>4.575163398692806E-2</v>
      </c>
      <c r="AE90" s="270"/>
      <c r="AF90" s="270">
        <f t="shared" si="622"/>
        <v>4.9657968077020546E-2</v>
      </c>
      <c r="AG90" s="270">
        <f t="shared" si="622"/>
        <v>5.2229299363057292E-2</v>
      </c>
      <c r="AH90" s="270"/>
      <c r="AI90" s="270">
        <f t="shared" si="623"/>
        <v>4.5111435224277796E-2</v>
      </c>
      <c r="AJ90" s="270">
        <f t="shared" si="623"/>
        <v>4.7619047619047498E-2</v>
      </c>
      <c r="AK90" s="270"/>
      <c r="AL90" s="270">
        <f t="shared" si="624"/>
        <v>6.414889194461329E-2</v>
      </c>
      <c r="AM90" s="270">
        <f t="shared" si="624"/>
        <v>6.8292682926829079E-2</v>
      </c>
      <c r="AN90" s="270"/>
      <c r="AO90" s="270">
        <f t="shared" si="625"/>
        <v>4.4333224924414834E-2</v>
      </c>
      <c r="AP90" s="270">
        <f t="shared" si="625"/>
        <v>4.3370508054522909E-2</v>
      </c>
      <c r="AQ90" s="335"/>
      <c r="AR90" s="270">
        <f t="shared" si="626"/>
        <v>4.9758941629336695E-2</v>
      </c>
      <c r="AS90" s="270">
        <f t="shared" si="626"/>
        <v>3.571428571428574E-2</v>
      </c>
      <c r="AT90" s="335"/>
      <c r="AU90" s="270">
        <f t="shared" si="627"/>
        <v>4.6733575457191028E-2</v>
      </c>
      <c r="AV90" s="270">
        <f t="shared" si="627"/>
        <v>5.3082191780821832E-2</v>
      </c>
      <c r="AW90" s="335"/>
      <c r="AX90" s="270">
        <f t="shared" si="628"/>
        <v>6.0223144737484864E-2</v>
      </c>
      <c r="AY90" s="270">
        <f t="shared" si="628"/>
        <v>5.7750759878419482E-2</v>
      </c>
      <c r="AZ90" s="335"/>
      <c r="BA90" s="270">
        <f t="shared" si="629"/>
        <v>6.7782348247878793E-2</v>
      </c>
      <c r="BB90" s="270">
        <f t="shared" si="629"/>
        <v>6.6755674232309659E-2</v>
      </c>
      <c r="BC90" s="335"/>
      <c r="BD90" s="270">
        <f t="shared" si="630"/>
        <v>4.3552471223964884E-2</v>
      </c>
      <c r="BE90" s="270">
        <f t="shared" si="630"/>
        <v>4.1301627033792081E-2</v>
      </c>
      <c r="BF90" s="335"/>
      <c r="BG90" s="313">
        <f t="shared" si="631"/>
        <v>5.1941992718659277E-2</v>
      </c>
      <c r="BH90" s="313">
        <f t="shared" si="632"/>
        <v>5.0062450032569587E-2</v>
      </c>
      <c r="BI90" s="313"/>
    </row>
    <row r="91" spans="1:163" hidden="1" outlineLevel="2" x14ac:dyDescent="0.25">
      <c r="A91" s="833">
        <v>9</v>
      </c>
      <c r="B91" s="270">
        <f t="shared" si="612"/>
        <v>2.9387775278677239E-2</v>
      </c>
      <c r="C91" s="270">
        <f t="shared" si="612"/>
        <v>2.5423728813559358E-2</v>
      </c>
      <c r="D91" s="338"/>
      <c r="E91" s="270">
        <f t="shared" si="613"/>
        <v>3.5450709200081754E-2</v>
      </c>
      <c r="F91" s="270">
        <f t="shared" si="613"/>
        <v>4.268292682926831E-2</v>
      </c>
      <c r="G91" s="338"/>
      <c r="H91" s="270">
        <f t="shared" si="614"/>
        <v>6.1770714785207861E-2</v>
      </c>
      <c r="I91" s="270">
        <f t="shared" si="614"/>
        <v>6.613756613756612E-2</v>
      </c>
      <c r="J91" s="270"/>
      <c r="K91" s="270">
        <f t="shared" si="615"/>
        <v>3.8434721980129087E-2</v>
      </c>
      <c r="L91" s="270">
        <f t="shared" si="615"/>
        <v>4.5751633986928039E-2</v>
      </c>
      <c r="M91" s="270"/>
      <c r="N91" s="270">
        <f t="shared" si="616"/>
        <v>4.1631494485311261E-2</v>
      </c>
      <c r="O91" s="270">
        <f t="shared" si="616"/>
        <v>3.7533512064343029E-2</v>
      </c>
      <c r="P91" s="270"/>
      <c r="Q91" s="270">
        <f t="shared" si="617"/>
        <v>4.697007794820221E-2</v>
      </c>
      <c r="R91" s="270">
        <f t="shared" si="617"/>
        <v>5.3930530164533745E-2</v>
      </c>
      <c r="S91" s="270"/>
      <c r="T91" s="270">
        <f t="shared" si="618"/>
        <v>2.8497595937404537E-2</v>
      </c>
      <c r="U91" s="270">
        <f t="shared" si="618"/>
        <v>2.5104602510460344E-2</v>
      </c>
      <c r="V91" s="270"/>
      <c r="W91" s="270">
        <f t="shared" si="619"/>
        <v>8.4545261818952833E-2</v>
      </c>
      <c r="X91" s="270">
        <f t="shared" si="619"/>
        <v>9.0243902439024498E-2</v>
      </c>
      <c r="Y91" s="270"/>
      <c r="Z91" s="270">
        <f t="shared" si="620"/>
        <v>5.5420095499339621E-2</v>
      </c>
      <c r="AA91" s="270">
        <f t="shared" si="620"/>
        <v>5.5222088835534242E-2</v>
      </c>
      <c r="AB91" s="270"/>
      <c r="AC91" s="270">
        <f t="shared" si="621"/>
        <v>1.4599915226298669E-2</v>
      </c>
      <c r="AD91" s="270">
        <f t="shared" si="621"/>
        <v>2.6143790849673193E-2</v>
      </c>
      <c r="AE91" s="270"/>
      <c r="AF91" s="270">
        <f t="shared" si="622"/>
        <v>5.801874841651887E-2</v>
      </c>
      <c r="AG91" s="270">
        <f t="shared" si="622"/>
        <v>6.1146496815286625E-2</v>
      </c>
      <c r="AH91" s="270"/>
      <c r="AI91" s="270">
        <f t="shared" si="623"/>
        <v>3.3264246053069199E-2</v>
      </c>
      <c r="AJ91" s="270">
        <f t="shared" si="623"/>
        <v>3.2967032967032898E-2</v>
      </c>
      <c r="AK91" s="270"/>
      <c r="AL91" s="270">
        <f t="shared" si="624"/>
        <v>8.3847654376259087E-2</v>
      </c>
      <c r="AM91" s="270">
        <f t="shared" si="624"/>
        <v>2.9268292682926911E-2</v>
      </c>
      <c r="AN91" s="270"/>
      <c r="AO91" s="270">
        <f t="shared" si="625"/>
        <v>5.0042761295607148E-2</v>
      </c>
      <c r="AP91" s="270">
        <f t="shared" si="625"/>
        <v>4.9566294919454697E-2</v>
      </c>
      <c r="AQ91" s="335"/>
      <c r="AR91" s="270">
        <f t="shared" si="626"/>
        <v>3.1233326198758807E-2</v>
      </c>
      <c r="AS91" s="270">
        <f t="shared" si="626"/>
        <v>3.0423280423280376E-2</v>
      </c>
      <c r="AT91" s="335"/>
      <c r="AU91" s="270">
        <f t="shared" si="627"/>
        <v>3.3277694141896547E-2</v>
      </c>
      <c r="AV91" s="270">
        <f t="shared" si="627"/>
        <v>3.8527397260273856E-2</v>
      </c>
      <c r="AW91" s="335"/>
      <c r="AX91" s="270">
        <f t="shared" si="628"/>
        <v>5.704816044938113E-2</v>
      </c>
      <c r="AY91" s="270">
        <f t="shared" si="628"/>
        <v>5.1671732522796283E-2</v>
      </c>
      <c r="AZ91" s="335"/>
      <c r="BA91" s="270">
        <f t="shared" si="629"/>
        <v>4.072217252256486E-2</v>
      </c>
      <c r="BB91" s="270">
        <f t="shared" si="629"/>
        <v>3.7383177570093434E-2</v>
      </c>
      <c r="BC91" s="335"/>
      <c r="BD91" s="270">
        <f t="shared" si="630"/>
        <v>7.242216751916751E-2</v>
      </c>
      <c r="BE91" s="270">
        <f t="shared" si="630"/>
        <v>8.1351689612015124E-2</v>
      </c>
      <c r="BF91" s="335"/>
      <c r="BG91" s="313">
        <f t="shared" si="631"/>
        <v>4.264354517630517E-2</v>
      </c>
      <c r="BH91" s="313">
        <f t="shared" si="632"/>
        <v>4.4294574893363907E-2</v>
      </c>
      <c r="BI91" s="313"/>
    </row>
    <row r="92" spans="1:163" hidden="1" outlineLevel="2" x14ac:dyDescent="0.25">
      <c r="A92" s="833">
        <v>10</v>
      </c>
      <c r="B92" s="270">
        <f t="shared" si="612"/>
        <v>9.1920215526829649E-2</v>
      </c>
      <c r="C92" s="270">
        <f t="shared" si="612"/>
        <v>8.0508474576271125E-2</v>
      </c>
      <c r="D92" s="338"/>
      <c r="E92" s="270">
        <f t="shared" si="613"/>
        <v>4.3964828137490058E-2</v>
      </c>
      <c r="F92" s="270">
        <f t="shared" si="613"/>
        <v>4.268292682926831E-2</v>
      </c>
      <c r="G92" s="338"/>
      <c r="H92" s="270">
        <f t="shared" si="614"/>
        <v>4.5933827864694146E-2</v>
      </c>
      <c r="I92" s="270">
        <f t="shared" si="614"/>
        <v>5.026455026455029E-2</v>
      </c>
      <c r="J92" s="270"/>
      <c r="K92" s="270">
        <f t="shared" si="615"/>
        <v>5.0235314624368005E-2</v>
      </c>
      <c r="L92" s="270">
        <f t="shared" si="615"/>
        <v>4.9019607843137393E-2</v>
      </c>
      <c r="M92" s="270"/>
      <c r="N92" s="270">
        <f t="shared" si="616"/>
        <v>4.2225169985992891E-2</v>
      </c>
      <c r="O92" s="270">
        <f t="shared" si="616"/>
        <v>3.7533512064343279E-2</v>
      </c>
      <c r="P92" s="270"/>
      <c r="Q92" s="270">
        <f t="shared" si="617"/>
        <v>3.4339761319897105E-2</v>
      </c>
      <c r="R92" s="270">
        <f t="shared" si="617"/>
        <v>3.8391224862888602E-2</v>
      </c>
      <c r="S92" s="270"/>
      <c r="T92" s="270">
        <f t="shared" si="618"/>
        <v>3.1513929156687229E-2</v>
      </c>
      <c r="U92" s="270">
        <f t="shared" si="618"/>
        <v>2.9288702928870328E-2</v>
      </c>
      <c r="V92" s="270"/>
      <c r="W92" s="270">
        <f t="shared" si="619"/>
        <v>3.0301745459684684E-2</v>
      </c>
      <c r="X92" s="270">
        <f t="shared" si="619"/>
        <v>2.9268292682926741E-2</v>
      </c>
      <c r="Y92" s="270"/>
      <c r="Z92" s="270">
        <f t="shared" si="620"/>
        <v>4.4454180635984962E-2</v>
      </c>
      <c r="AA92" s="270">
        <f t="shared" si="620"/>
        <v>3.9615846338535272E-2</v>
      </c>
      <c r="AB92" s="270"/>
      <c r="AC92" s="270">
        <f t="shared" si="621"/>
        <v>2.580888240003756E-2</v>
      </c>
      <c r="AD92" s="270">
        <f t="shared" si="621"/>
        <v>3.2679738562091609E-2</v>
      </c>
      <c r="AE92" s="270"/>
      <c r="AF92" s="270">
        <f t="shared" si="622"/>
        <v>4.328949489831168E-2</v>
      </c>
      <c r="AG92" s="270">
        <f t="shared" si="622"/>
        <v>5.0955414012738863E-2</v>
      </c>
      <c r="AH92" s="270"/>
      <c r="AI92" s="270">
        <f t="shared" si="623"/>
        <v>5.1738696553312244E-2</v>
      </c>
      <c r="AJ92" s="270">
        <f t="shared" si="623"/>
        <v>4.0293040293040316E-2</v>
      </c>
      <c r="AK92" s="270"/>
      <c r="AL92" s="270">
        <f t="shared" si="624"/>
        <v>4.7008410348246071E-2</v>
      </c>
      <c r="AM92" s="270">
        <f t="shared" si="624"/>
        <v>4.8780487804878113E-2</v>
      </c>
      <c r="AN92" s="270"/>
      <c r="AO92" s="270">
        <f t="shared" si="625"/>
        <v>4.2731182018574058E-2</v>
      </c>
      <c r="AP92" s="270">
        <f t="shared" si="625"/>
        <v>4.5848822800495785E-2</v>
      </c>
      <c r="AQ92" s="335"/>
      <c r="AR92" s="270">
        <f t="shared" si="626"/>
        <v>6.9807382410304541E-2</v>
      </c>
      <c r="AS92" s="270">
        <f t="shared" si="626"/>
        <v>6.8783068783068793E-2</v>
      </c>
      <c r="AT92" s="335"/>
      <c r="AU92" s="270">
        <f t="shared" si="627"/>
        <v>2.0132353573942805E-2</v>
      </c>
      <c r="AV92" s="270">
        <f t="shared" si="627"/>
        <v>2.7397260273972684E-2</v>
      </c>
      <c r="AW92" s="335"/>
      <c r="AX92" s="270">
        <f t="shared" si="628"/>
        <v>1.085053553005183E-2</v>
      </c>
      <c r="AY92" s="270">
        <f t="shared" si="628"/>
        <v>1.0638297872340448E-2</v>
      </c>
      <c r="AZ92" s="335"/>
      <c r="BA92" s="270">
        <f t="shared" si="629"/>
        <v>2.9070216633415278E-2</v>
      </c>
      <c r="BB92" s="270">
        <f t="shared" si="629"/>
        <v>2.6702269692923816E-2</v>
      </c>
      <c r="BC92" s="335"/>
      <c r="BD92" s="270">
        <f t="shared" si="630"/>
        <v>5.5025971707697685E-2</v>
      </c>
      <c r="BE92" s="270">
        <f t="shared" si="630"/>
        <v>5.506883604505635E-2</v>
      </c>
      <c r="BF92" s="335"/>
      <c r="BG92" s="313">
        <f t="shared" si="631"/>
        <v>4.1564263864454186E-2</v>
      </c>
      <c r="BH92" s="313">
        <f t="shared" si="632"/>
        <v>4.0557227291795304E-2</v>
      </c>
      <c r="BI92" s="313"/>
    </row>
    <row r="93" spans="1:163" hidden="1" outlineLevel="2" x14ac:dyDescent="0.25">
      <c r="A93" s="833">
        <v>11</v>
      </c>
      <c r="B93" s="270">
        <f t="shared" si="612"/>
        <v>7.7016238661360772E-2</v>
      </c>
      <c r="C93" s="270">
        <f t="shared" si="612"/>
        <v>7.2033898305084776E-2</v>
      </c>
      <c r="D93" s="338"/>
      <c r="E93" s="270">
        <f t="shared" si="613"/>
        <v>1.6126633576859381E-2</v>
      </c>
      <c r="F93" s="270">
        <f t="shared" si="613"/>
        <v>1.2195121951219469E-2</v>
      </c>
      <c r="G93" s="338"/>
      <c r="H93" s="270">
        <f t="shared" si="614"/>
        <v>4.1381579849446688E-2</v>
      </c>
      <c r="I93" s="270">
        <f t="shared" si="614"/>
        <v>4.4973544973545047E-2</v>
      </c>
      <c r="J93" s="270"/>
      <c r="K93" s="270">
        <f t="shared" si="615"/>
        <v>2.4943350183022534E-2</v>
      </c>
      <c r="L93" s="270">
        <f t="shared" si="615"/>
        <v>2.9411764705882183E-2</v>
      </c>
      <c r="M93" s="270"/>
      <c r="N93" s="270">
        <f t="shared" si="616"/>
        <v>2.9785813010769636E-2</v>
      </c>
      <c r="O93" s="270">
        <f t="shared" si="616"/>
        <v>3.0831099195710532E-2</v>
      </c>
      <c r="P93" s="270"/>
      <c r="Q93" s="270">
        <f t="shared" si="617"/>
        <v>3.4494497205083026E-2</v>
      </c>
      <c r="R93" s="270">
        <f t="shared" si="617"/>
        <v>3.8391224862888436E-2</v>
      </c>
      <c r="S93" s="270"/>
      <c r="T93" s="270">
        <f t="shared" si="618"/>
        <v>2.660676018800312E-2</v>
      </c>
      <c r="U93" s="270">
        <f t="shared" si="618"/>
        <v>3.5564853556485185E-2</v>
      </c>
      <c r="V93" s="270"/>
      <c r="W93" s="270">
        <f t="shared" si="619"/>
        <v>1.5532471203448688E-2</v>
      </c>
      <c r="X93" s="270">
        <f t="shared" si="619"/>
        <v>2.1951219512195055E-2</v>
      </c>
      <c r="Y93" s="270"/>
      <c r="Z93" s="270">
        <f t="shared" si="620"/>
        <v>3.7431423346540739E-2</v>
      </c>
      <c r="AA93" s="270">
        <f t="shared" si="620"/>
        <v>3.7214885954381841E-2</v>
      </c>
      <c r="AB93" s="270"/>
      <c r="AC93" s="270">
        <f t="shared" si="621"/>
        <v>4.7661658738755754E-2</v>
      </c>
      <c r="AD93" s="270">
        <f t="shared" si="621"/>
        <v>4.575163398692806E-2</v>
      </c>
      <c r="AE93" s="270"/>
      <c r="AF93" s="270">
        <f t="shared" si="622"/>
        <v>3.8498744731326397E-2</v>
      </c>
      <c r="AG93" s="270">
        <f t="shared" si="622"/>
        <v>4.0764331210191032E-2</v>
      </c>
      <c r="AH93" s="270"/>
      <c r="AI93" s="270">
        <f t="shared" si="623"/>
        <v>4.7209641513779155E-2</v>
      </c>
      <c r="AJ93" s="270">
        <f t="shared" si="623"/>
        <v>4.7619047619047734E-2</v>
      </c>
      <c r="AK93" s="270"/>
      <c r="AL93" s="270">
        <f t="shared" si="624"/>
        <v>3.4792619359790194E-2</v>
      </c>
      <c r="AM93" s="270">
        <f t="shared" si="624"/>
        <v>2.9268292682926682E-2</v>
      </c>
      <c r="AN93" s="270"/>
      <c r="AO93" s="270">
        <f t="shared" si="625"/>
        <v>2.559655018730651E-2</v>
      </c>
      <c r="AP93" s="270">
        <f t="shared" si="625"/>
        <v>2.354399008674091E-2</v>
      </c>
      <c r="AQ93" s="335"/>
      <c r="AR93" s="270">
        <f t="shared" si="626"/>
        <v>4.3993167960671035E-2</v>
      </c>
      <c r="AS93" s="270">
        <f t="shared" si="626"/>
        <v>4.2328042328042215E-2</v>
      </c>
      <c r="AT93" s="335"/>
      <c r="AU93" s="270">
        <f t="shared" si="627"/>
        <v>7.6450856100008846E-2</v>
      </c>
      <c r="AV93" s="270">
        <f t="shared" si="627"/>
        <v>2.8253424657534193E-2</v>
      </c>
      <c r="AW93" s="335"/>
      <c r="AX93" s="270">
        <f t="shared" si="628"/>
        <v>3.2129344370020692E-2</v>
      </c>
      <c r="AY93" s="270">
        <f t="shared" si="628"/>
        <v>3.4954407294832839E-2</v>
      </c>
      <c r="AZ93" s="335"/>
      <c r="BA93" s="270">
        <f t="shared" si="629"/>
        <v>4.7675657789027902E-2</v>
      </c>
      <c r="BB93" s="270">
        <f t="shared" si="629"/>
        <v>3.6048064085447355E-2</v>
      </c>
      <c r="BC93" s="335"/>
      <c r="BD93" s="270">
        <f t="shared" si="630"/>
        <v>3.5577493096616571E-2</v>
      </c>
      <c r="BE93" s="270">
        <f t="shared" si="630"/>
        <v>3.3792240300375427E-2</v>
      </c>
      <c r="BF93" s="335"/>
      <c r="BG93" s="313">
        <f t="shared" si="631"/>
        <v>3.9002227742756537E-2</v>
      </c>
      <c r="BH93" s="313">
        <f t="shared" si="632"/>
        <v>3.6316638942247861E-2</v>
      </c>
      <c r="BI93" s="313"/>
    </row>
    <row r="94" spans="1:163" hidden="1" outlineLevel="2" x14ac:dyDescent="0.25">
      <c r="A94" s="833">
        <v>12</v>
      </c>
      <c r="B94" s="270">
        <f t="shared" si="612"/>
        <v>5.642749450060567E-2</v>
      </c>
      <c r="C94" s="270">
        <f t="shared" si="612"/>
        <v>6.3559322033898275E-2</v>
      </c>
      <c r="D94" s="338"/>
      <c r="E94" s="270">
        <f t="shared" si="613"/>
        <v>2.8739798858587656E-2</v>
      </c>
      <c r="F94" s="270">
        <f t="shared" si="613"/>
        <v>3.0487804878048842E-2</v>
      </c>
      <c r="G94" s="338"/>
      <c r="H94" s="270">
        <f t="shared" si="614"/>
        <v>2.2185353279126852E-2</v>
      </c>
      <c r="I94" s="270">
        <f t="shared" si="614"/>
        <v>2.380952380952369E-2</v>
      </c>
      <c r="J94" s="270"/>
      <c r="K94" s="270">
        <f t="shared" si="615"/>
        <v>6.8572424612166685E-2</v>
      </c>
      <c r="L94" s="270">
        <f t="shared" si="615"/>
        <v>6.5359477124183066E-2</v>
      </c>
      <c r="M94" s="270"/>
      <c r="N94" s="270">
        <f t="shared" si="616"/>
        <v>3.1307106481266805E-2</v>
      </c>
      <c r="O94" s="270">
        <f t="shared" si="616"/>
        <v>3.4852546916890076E-2</v>
      </c>
      <c r="P94" s="270"/>
      <c r="Q94" s="270">
        <f t="shared" si="617"/>
        <v>3.5086361965919376E-2</v>
      </c>
      <c r="R94" s="270">
        <f t="shared" si="617"/>
        <v>3.7477148080438831E-2</v>
      </c>
      <c r="S94" s="270"/>
      <c r="T94" s="270">
        <f t="shared" si="618"/>
        <v>3.0496479443914131E-2</v>
      </c>
      <c r="U94" s="270">
        <f t="shared" si="618"/>
        <v>3.3472803347280311E-2</v>
      </c>
      <c r="V94" s="270"/>
      <c r="W94" s="270">
        <f t="shared" si="619"/>
        <v>3.3736131722139628E-2</v>
      </c>
      <c r="X94" s="270">
        <f t="shared" si="619"/>
        <v>3.9024390243902439E-2</v>
      </c>
      <c r="Y94" s="270"/>
      <c r="Z94" s="270">
        <f t="shared" si="620"/>
        <v>3.674565681194758E-2</v>
      </c>
      <c r="AA94" s="270">
        <f t="shared" si="620"/>
        <v>3.9615846338535494E-2</v>
      </c>
      <c r="AB94" s="270"/>
      <c r="AC94" s="270">
        <f t="shared" si="621"/>
        <v>4.9545518767955633E-2</v>
      </c>
      <c r="AD94" s="270">
        <f t="shared" si="621"/>
        <v>2.6143790849673096E-2</v>
      </c>
      <c r="AE94" s="270"/>
      <c r="AF94" s="270">
        <f t="shared" si="622"/>
        <v>3.8665730013589264E-2</v>
      </c>
      <c r="AG94" s="270">
        <f t="shared" si="622"/>
        <v>3.5668789808917307E-2</v>
      </c>
      <c r="AH94" s="270"/>
      <c r="AI94" s="270">
        <f t="shared" si="623"/>
        <v>3.8663289066298095E-2</v>
      </c>
      <c r="AJ94" s="270">
        <f t="shared" si="623"/>
        <v>4.0293040293040316E-2</v>
      </c>
      <c r="AK94" s="270"/>
      <c r="AL94" s="270">
        <f t="shared" si="624"/>
        <v>6.1398740046688653E-2</v>
      </c>
      <c r="AM94" s="270">
        <f t="shared" si="624"/>
        <v>6.8292682926829315E-2</v>
      </c>
      <c r="AN94" s="270"/>
      <c r="AO94" s="270">
        <f t="shared" si="625"/>
        <v>2.717450222238265E-2</v>
      </c>
      <c r="AP94" s="270">
        <f t="shared" si="625"/>
        <v>2.9739776951672899E-2</v>
      </c>
      <c r="AQ94" s="335"/>
      <c r="AR94" s="270">
        <f t="shared" si="626"/>
        <v>5.0829066575873244E-2</v>
      </c>
      <c r="AS94" s="270">
        <f t="shared" si="626"/>
        <v>4.8941798941798918E-2</v>
      </c>
      <c r="AT94" s="335"/>
      <c r="AU94" s="270">
        <f t="shared" si="627"/>
        <v>2.9192983578677636E-2</v>
      </c>
      <c r="AV94" s="270">
        <f t="shared" si="627"/>
        <v>2.8253424657534193E-2</v>
      </c>
      <c r="AW94" s="335"/>
      <c r="AX94" s="270">
        <f t="shared" si="628"/>
        <v>2.67735627931182E-2</v>
      </c>
      <c r="AY94" s="270">
        <f t="shared" si="628"/>
        <v>2.4316109422492394E-2</v>
      </c>
      <c r="AZ94" s="335"/>
      <c r="BA94" s="270">
        <f t="shared" si="629"/>
        <v>2.8900619431794002E-2</v>
      </c>
      <c r="BB94" s="270">
        <f t="shared" si="629"/>
        <v>3.0707610146862543E-2</v>
      </c>
      <c r="BC94" s="335"/>
      <c r="BD94" s="270">
        <f t="shared" si="630"/>
        <v>4.9592243087250319E-2</v>
      </c>
      <c r="BE94" s="270">
        <f t="shared" si="630"/>
        <v>4.505632040050065E-2</v>
      </c>
      <c r="BF94" s="335"/>
      <c r="BG94" s="313">
        <f t="shared" si="631"/>
        <v>3.7148521881985863E-2</v>
      </c>
      <c r="BH94" s="313">
        <f t="shared" si="632"/>
        <v>3.7253400877235963E-2</v>
      </c>
      <c r="BI94" s="313"/>
    </row>
    <row r="95" spans="1:163" hidden="1" outlineLevel="2" x14ac:dyDescent="0.25">
      <c r="A95" s="833">
        <v>13</v>
      </c>
      <c r="B95" s="270">
        <f t="shared" si="612"/>
        <v>1.7746360513111945E-2</v>
      </c>
      <c r="C95" s="270">
        <f t="shared" si="612"/>
        <v>1.694915254237285E-2</v>
      </c>
      <c r="D95" s="338"/>
      <c r="E95" s="270">
        <f t="shared" si="613"/>
        <v>2.7029539159370147E-2</v>
      </c>
      <c r="F95" s="270">
        <f t="shared" si="613"/>
        <v>3.0487804878048756E-2</v>
      </c>
      <c r="G95" s="338"/>
      <c r="H95" s="270">
        <f t="shared" si="614"/>
        <v>3.8296472007788109E-2</v>
      </c>
      <c r="I95" s="270">
        <f t="shared" si="614"/>
        <v>3.9682539682539611E-2</v>
      </c>
      <c r="J95" s="270"/>
      <c r="K95" s="270">
        <f t="shared" si="615"/>
        <v>2.3827784556388343E-2</v>
      </c>
      <c r="L95" s="270">
        <f t="shared" si="615"/>
        <v>2.6143790849673193E-2</v>
      </c>
      <c r="M95" s="270"/>
      <c r="N95" s="270">
        <f t="shared" si="616"/>
        <v>2.4637533278294724E-2</v>
      </c>
      <c r="O95" s="270">
        <f t="shared" si="616"/>
        <v>2.1447721179624589E-2</v>
      </c>
      <c r="P95" s="270"/>
      <c r="Q95" s="270">
        <f t="shared" si="617"/>
        <v>3.0316628305061918E-2</v>
      </c>
      <c r="R95" s="270">
        <f t="shared" si="617"/>
        <v>3.199268738574039E-2</v>
      </c>
      <c r="S95" s="270"/>
      <c r="T95" s="270">
        <f t="shared" si="618"/>
        <v>6.0209612648790864E-2</v>
      </c>
      <c r="U95" s="270">
        <f t="shared" si="618"/>
        <v>5.4393305439330672E-2</v>
      </c>
      <c r="V95" s="270"/>
      <c r="W95" s="270">
        <f t="shared" si="619"/>
        <v>3.100840929969614E-2</v>
      </c>
      <c r="X95" s="270">
        <f t="shared" si="619"/>
        <v>3.4146341463414762E-2</v>
      </c>
      <c r="Y95" s="270"/>
      <c r="Z95" s="270">
        <f t="shared" si="620"/>
        <v>2.5614650005079603E-2</v>
      </c>
      <c r="AA95" s="270">
        <f t="shared" si="620"/>
        <v>2.6410564225690183E-2</v>
      </c>
      <c r="AB95" s="270"/>
      <c r="AC95" s="270">
        <f t="shared" si="621"/>
        <v>1.0125747656948961E-2</v>
      </c>
      <c r="AD95" s="270">
        <f t="shared" si="621"/>
        <v>6.5359477124183225E-3</v>
      </c>
      <c r="AE95" s="270"/>
      <c r="AF95" s="270">
        <f t="shared" si="622"/>
        <v>3.3754059469792874E-2</v>
      </c>
      <c r="AG95" s="270">
        <f t="shared" si="622"/>
        <v>4.0764331210191032E-2</v>
      </c>
      <c r="AH95" s="270"/>
      <c r="AI95" s="270">
        <f t="shared" si="623"/>
        <v>2.1493820526598758E-2</v>
      </c>
      <c r="AJ95" s="270">
        <f t="shared" si="623"/>
        <v>2.5641025641025484E-2</v>
      </c>
      <c r="AK95" s="270"/>
      <c r="AL95" s="270">
        <f t="shared" si="624"/>
        <v>5.1517380320424556E-2</v>
      </c>
      <c r="AM95" s="270">
        <f t="shared" si="624"/>
        <v>5.8536585365853822E-2</v>
      </c>
      <c r="AN95" s="270"/>
      <c r="AO95" s="270">
        <f t="shared" si="625"/>
        <v>3.683494139895694E-2</v>
      </c>
      <c r="AP95" s="270">
        <f t="shared" si="625"/>
        <v>3.4696406443618447E-2</v>
      </c>
      <c r="AQ95" s="335"/>
      <c r="AR95" s="270">
        <f t="shared" si="626"/>
        <v>5.5044019754154926E-2</v>
      </c>
      <c r="AS95" s="270">
        <f t="shared" si="626"/>
        <v>5.5555555555555622E-2</v>
      </c>
      <c r="AT95" s="335"/>
      <c r="AU95" s="270">
        <f t="shared" si="627"/>
        <v>2.8512377928858659E-2</v>
      </c>
      <c r="AV95" s="270">
        <f t="shared" si="627"/>
        <v>2.7397260273972684E-2</v>
      </c>
      <c r="AW95" s="335"/>
      <c r="AX95" s="270">
        <f t="shared" si="628"/>
        <v>3.1610870504791479E-2</v>
      </c>
      <c r="AY95" s="270">
        <f t="shared" si="628"/>
        <v>3.1914893617021343E-2</v>
      </c>
      <c r="AZ95" s="335"/>
      <c r="BA95" s="270">
        <f t="shared" si="629"/>
        <v>3.0872972072868536E-2</v>
      </c>
      <c r="BB95" s="270">
        <f t="shared" si="629"/>
        <v>3.2042723631508625E-2</v>
      </c>
      <c r="BC95" s="335"/>
      <c r="BD95" s="270">
        <f t="shared" si="630"/>
        <v>3.0949526514942909E-2</v>
      </c>
      <c r="BE95" s="270">
        <f t="shared" si="630"/>
        <v>2.7534418022528054E-2</v>
      </c>
      <c r="BF95" s="335"/>
      <c r="BG95" s="313">
        <f t="shared" si="631"/>
        <v>3.0823858726047502E-2</v>
      </c>
      <c r="BH95" s="313">
        <f t="shared" si="632"/>
        <v>3.0964857532597218E-2</v>
      </c>
      <c r="BI95" s="313"/>
    </row>
    <row r="96" spans="1:163" hidden="1" outlineLevel="2" x14ac:dyDescent="0.25">
      <c r="A96" s="833">
        <v>14</v>
      </c>
      <c r="B96" s="270">
        <f t="shared" si="612"/>
        <v>2.0687609678934175E-2</v>
      </c>
      <c r="C96" s="270">
        <f t="shared" si="612"/>
        <v>3.3898305084745867E-2</v>
      </c>
      <c r="D96" s="338"/>
      <c r="E96" s="270">
        <f t="shared" si="613"/>
        <v>3.7616418493112438E-2</v>
      </c>
      <c r="F96" s="270">
        <f t="shared" si="613"/>
        <v>3.4552845528455216E-2</v>
      </c>
      <c r="G96" s="338"/>
      <c r="H96" s="270">
        <f t="shared" si="614"/>
        <v>1.8263838422618719E-2</v>
      </c>
      <c r="I96" s="270">
        <f t="shared" si="614"/>
        <v>1.8518518518518639E-2</v>
      </c>
      <c r="J96" s="270"/>
      <c r="K96" s="270">
        <f t="shared" si="615"/>
        <v>3.6133867875196096E-2</v>
      </c>
      <c r="L96" s="270">
        <f t="shared" si="615"/>
        <v>3.5947712418300706E-2</v>
      </c>
      <c r="M96" s="270"/>
      <c r="N96" s="270">
        <f t="shared" si="616"/>
        <v>3.8895021474355959E-2</v>
      </c>
      <c r="O96" s="270">
        <f t="shared" si="616"/>
        <v>3.6193029490616681E-2</v>
      </c>
      <c r="P96" s="270"/>
      <c r="Q96" s="270">
        <f t="shared" si="617"/>
        <v>4.2900524167810997E-2</v>
      </c>
      <c r="R96" s="270">
        <f t="shared" si="617"/>
        <v>4.4789762340036475E-2</v>
      </c>
      <c r="S96" s="270"/>
      <c r="T96" s="270">
        <f t="shared" si="618"/>
        <v>5.6148817777457449E-2</v>
      </c>
      <c r="U96" s="270">
        <f t="shared" si="618"/>
        <v>5.439330543933045E-2</v>
      </c>
      <c r="V96" s="270"/>
      <c r="W96" s="270">
        <f t="shared" si="619"/>
        <v>4.7487810048759911E-2</v>
      </c>
      <c r="X96" s="270">
        <f t="shared" si="619"/>
        <v>4.878048780487796E-2</v>
      </c>
      <c r="Y96" s="270"/>
      <c r="Z96" s="270">
        <f t="shared" si="620"/>
        <v>5.0219699278675291E-2</v>
      </c>
      <c r="AA96" s="270">
        <f t="shared" si="620"/>
        <v>5.7623049219687895E-2</v>
      </c>
      <c r="AB96" s="270"/>
      <c r="AC96" s="270">
        <f t="shared" si="621"/>
        <v>2.9058540950407538E-2</v>
      </c>
      <c r="AD96" s="270">
        <f t="shared" si="621"/>
        <v>2.614379084967329E-2</v>
      </c>
      <c r="AE96" s="270"/>
      <c r="AF96" s="270">
        <f t="shared" si="622"/>
        <v>5.1339337126010583E-2</v>
      </c>
      <c r="AG96" s="270">
        <f t="shared" si="622"/>
        <v>5.0955414012738787E-2</v>
      </c>
      <c r="AH96" s="270"/>
      <c r="AI96" s="270">
        <f t="shared" si="623"/>
        <v>3.098692459251284E-2</v>
      </c>
      <c r="AJ96" s="270">
        <f t="shared" si="623"/>
        <v>3.1135531135531282E-2</v>
      </c>
      <c r="AK96" s="270"/>
      <c r="AL96" s="270">
        <f t="shared" ref="AL96" si="633">AL72/SUM(AL$66:AL$79)</f>
        <v>4.9182949058232998E-2</v>
      </c>
      <c r="AM96" s="270">
        <f t="shared" ref="AM96:AM103" si="634">AM72/SUM(AM$66:AM$79)</f>
        <v>5.8536585365853593E-2</v>
      </c>
      <c r="AN96" s="270"/>
      <c r="AO96" s="270">
        <f t="shared" si="625"/>
        <v>5.187366747371077E-2</v>
      </c>
      <c r="AP96" s="270">
        <f t="shared" si="625"/>
        <v>4.5848822800495584E-2</v>
      </c>
      <c r="AQ96" s="335"/>
      <c r="AR96" s="270">
        <f t="shared" si="626"/>
        <v>7.0013639820287257E-2</v>
      </c>
      <c r="AS96" s="270">
        <f t="shared" si="626"/>
        <v>6.2169312169312096E-2</v>
      </c>
      <c r="AT96" s="335"/>
      <c r="AU96" s="270">
        <f t="shared" si="627"/>
        <v>2.9312185698137257E-2</v>
      </c>
      <c r="AV96" s="270">
        <f t="shared" si="627"/>
        <v>2.8253424657534193E-2</v>
      </c>
      <c r="AW96" s="335"/>
      <c r="AX96" s="270">
        <f t="shared" si="628"/>
        <v>6.3317952654676962E-2</v>
      </c>
      <c r="AY96" s="270">
        <f t="shared" si="628"/>
        <v>6.5349544072948226E-2</v>
      </c>
      <c r="AZ96" s="335"/>
      <c r="BA96" s="270">
        <f t="shared" si="629"/>
        <v>5.0194490301992321E-2</v>
      </c>
      <c r="BB96" s="270">
        <f t="shared" si="629"/>
        <v>5.0734312416555467E-2</v>
      </c>
      <c r="BC96" s="335"/>
      <c r="BD96" s="270">
        <f t="shared" si="630"/>
        <v>6.2381132882143302E-2</v>
      </c>
      <c r="BE96" s="270">
        <f t="shared" si="630"/>
        <v>5.8823529411764677E-2</v>
      </c>
      <c r="BF96" s="335"/>
      <c r="BG96" s="313">
        <f t="shared" si="631"/>
        <v>4.2069438044290371E-2</v>
      </c>
      <c r="BH96" s="313">
        <f t="shared" si="632"/>
        <v>4.2145734621663759E-2</v>
      </c>
      <c r="BI96" s="313"/>
    </row>
    <row r="97" spans="1:126" hidden="1" outlineLevel="2" x14ac:dyDescent="0.25">
      <c r="A97" s="833">
        <v>15</v>
      </c>
      <c r="B97" s="270">
        <f t="shared" si="612"/>
        <v>4.5972465953187228E-2</v>
      </c>
      <c r="C97" s="270">
        <f t="shared" si="612"/>
        <v>3.8135593220338999E-2</v>
      </c>
      <c r="D97" s="338"/>
      <c r="E97" s="270">
        <f t="shared" si="613"/>
        <v>4.0497834290707045E-2</v>
      </c>
      <c r="F97" s="270">
        <f t="shared" si="613"/>
        <v>3.8617886178861936E-2</v>
      </c>
      <c r="G97" s="338"/>
      <c r="H97" s="270">
        <f t="shared" si="614"/>
        <v>2.2007102603830864E-2</v>
      </c>
      <c r="I97" s="270">
        <f t="shared" si="614"/>
        <v>2.6455026455026408E-2</v>
      </c>
      <c r="J97" s="270"/>
      <c r="K97" s="270">
        <f t="shared" si="615"/>
        <v>2.6076346522572812E-2</v>
      </c>
      <c r="L97" s="270">
        <f t="shared" si="615"/>
        <v>2.287581699346402E-2</v>
      </c>
      <c r="M97" s="270"/>
      <c r="N97" s="270">
        <f t="shared" si="616"/>
        <v>0.10801183640529481</v>
      </c>
      <c r="O97" s="270">
        <f t="shared" si="616"/>
        <v>0.10857908847184979</v>
      </c>
      <c r="P97" s="270"/>
      <c r="Q97" s="270">
        <f t="shared" si="617"/>
        <v>3.1755672037291301E-2</v>
      </c>
      <c r="R97" s="270">
        <f t="shared" si="617"/>
        <v>3.2906764168190161E-2</v>
      </c>
      <c r="S97" s="270"/>
      <c r="T97" s="270">
        <f t="shared" si="618"/>
        <v>8.2584502350038863E-2</v>
      </c>
      <c r="U97" s="270">
        <f t="shared" si="618"/>
        <v>8.3682008368201E-2</v>
      </c>
      <c r="V97" s="270"/>
      <c r="W97" s="270">
        <f t="shared" si="619"/>
        <v>5.0074199703201212E-2</v>
      </c>
      <c r="X97" s="270">
        <f t="shared" si="619"/>
        <v>4.8780487804878134E-2</v>
      </c>
      <c r="Y97" s="270"/>
      <c r="Z97" s="270">
        <f t="shared" si="620"/>
        <v>6.3992177181753429E-2</v>
      </c>
      <c r="AA97" s="270">
        <f t="shared" si="620"/>
        <v>6.0024009603841542E-2</v>
      </c>
      <c r="AB97" s="270"/>
      <c r="AC97" s="270">
        <f t="shared" si="621"/>
        <v>5.1664861300805304E-2</v>
      </c>
      <c r="AD97" s="270">
        <f t="shared" si="621"/>
        <v>3.2679738562091415E-2</v>
      </c>
      <c r="AE97" s="270"/>
      <c r="AF97" s="270">
        <f t="shared" si="622"/>
        <v>6.3160743487574E-2</v>
      </c>
      <c r="AG97" s="270">
        <f t="shared" si="622"/>
        <v>3.9490445859872679E-2</v>
      </c>
      <c r="AH97" s="270"/>
      <c r="AI97" s="270">
        <f t="shared" si="623"/>
        <v>3.3213070289910662E-2</v>
      </c>
      <c r="AJ97" s="270">
        <f t="shared" si="623"/>
        <v>3.4798534798534751E-2</v>
      </c>
      <c r="AK97" s="270"/>
      <c r="AL97" s="270">
        <f t="shared" ref="AL97" si="635">AL73/SUM(AL$66:AL$79)</f>
        <v>7.4829714431901659E-2</v>
      </c>
      <c r="AM97" s="270">
        <f t="shared" si="634"/>
        <v>6.8292682926829315E-2</v>
      </c>
      <c r="AN97" s="270"/>
      <c r="AO97" s="270">
        <f t="shared" si="625"/>
        <v>6.4605692672761658E-2</v>
      </c>
      <c r="AP97" s="270">
        <f t="shared" si="625"/>
        <v>5.824039653035936E-2</v>
      </c>
      <c r="AQ97" s="335"/>
      <c r="AR97" s="270">
        <f t="shared" si="626"/>
        <v>6.8635935884880872E-2</v>
      </c>
      <c r="AS97" s="270">
        <f t="shared" si="626"/>
        <v>7.2751322751322817E-2</v>
      </c>
      <c r="AT97" s="335"/>
      <c r="AU97" s="270">
        <f t="shared" si="627"/>
        <v>5.3960107818701621E-2</v>
      </c>
      <c r="AV97" s="270">
        <f t="shared" si="627"/>
        <v>3.9383561643835621E-2</v>
      </c>
      <c r="AW97" s="335"/>
      <c r="AX97" s="270">
        <f t="shared" si="628"/>
        <v>0.13687175532908294</v>
      </c>
      <c r="AY97" s="270">
        <f t="shared" si="628"/>
        <v>0.13069908814589667</v>
      </c>
      <c r="AZ97" s="335"/>
      <c r="BA97" s="270">
        <f t="shared" si="629"/>
        <v>2.7870473466392248E-2</v>
      </c>
      <c r="BB97" s="270">
        <f t="shared" si="629"/>
        <v>2.9372496662216221E-2</v>
      </c>
      <c r="BC97" s="335"/>
      <c r="BD97" s="270">
        <f t="shared" si="630"/>
        <v>7.1540650075039278E-2</v>
      </c>
      <c r="BE97" s="270">
        <f t="shared" si="630"/>
        <v>7.7596996245306804E-2</v>
      </c>
      <c r="BF97" s="335"/>
      <c r="BG97" s="313">
        <f t="shared" si="631"/>
        <v>5.67371271131508E-2</v>
      </c>
      <c r="BH97" s="313">
        <f t="shared" si="632"/>
        <v>5.3623863772431807E-2</v>
      </c>
      <c r="BI97" s="313"/>
    </row>
    <row r="98" spans="1:126" hidden="1" outlineLevel="2" x14ac:dyDescent="0.25">
      <c r="A98" s="833">
        <v>16</v>
      </c>
      <c r="B98" s="270">
        <f t="shared" si="612"/>
        <v>4.6367928025902845E-2</v>
      </c>
      <c r="C98" s="270">
        <f t="shared" si="612"/>
        <v>4.2372881355932125E-2</v>
      </c>
      <c r="D98" s="338"/>
      <c r="E98" s="270">
        <f t="shared" si="613"/>
        <v>5.5639209562582392E-2</v>
      </c>
      <c r="F98" s="270">
        <f t="shared" si="613"/>
        <v>4.6747967479674683E-2</v>
      </c>
      <c r="G98" s="338"/>
      <c r="H98" s="270">
        <f t="shared" si="614"/>
        <v>4.1587253705557485E-2</v>
      </c>
      <c r="I98" s="270">
        <f t="shared" si="614"/>
        <v>4.4973544973545047E-2</v>
      </c>
      <c r="J98" s="270"/>
      <c r="K98" s="270">
        <f t="shared" si="615"/>
        <v>4.6853756318633429E-2</v>
      </c>
      <c r="L98" s="270">
        <f t="shared" si="615"/>
        <v>3.921568627450988E-2</v>
      </c>
      <c r="M98" s="270"/>
      <c r="N98" s="270">
        <f t="shared" si="616"/>
        <v>4.6297412873482109E-2</v>
      </c>
      <c r="O98" s="270">
        <f t="shared" si="616"/>
        <v>4.9597855227881918E-2</v>
      </c>
      <c r="P98" s="270"/>
      <c r="Q98" s="270">
        <f t="shared" si="617"/>
        <v>3.3523529525541225E-2</v>
      </c>
      <c r="R98" s="270">
        <f t="shared" si="617"/>
        <v>3.4734917733089531E-2</v>
      </c>
      <c r="S98" s="270"/>
      <c r="T98" s="270">
        <f t="shared" si="618"/>
        <v>8.0396535268588684E-2</v>
      </c>
      <c r="U98" s="270">
        <f t="shared" si="618"/>
        <v>8.1589958158995668E-2</v>
      </c>
      <c r="V98" s="270"/>
      <c r="W98" s="270">
        <f t="shared" si="619"/>
        <v>4.9141403434386263E-2</v>
      </c>
      <c r="X98" s="270">
        <f t="shared" si="619"/>
        <v>5.6097560975609646E-2</v>
      </c>
      <c r="Y98" s="270"/>
      <c r="Z98" s="270">
        <f t="shared" si="620"/>
        <v>5.373107792339752E-2</v>
      </c>
      <c r="AA98" s="270">
        <f t="shared" si="620"/>
        <v>5.2821128451380588E-2</v>
      </c>
      <c r="AB98" s="270"/>
      <c r="AC98" s="270">
        <f t="shared" si="621"/>
        <v>4.6154570715395853E-2</v>
      </c>
      <c r="AD98" s="270">
        <f t="shared" si="621"/>
        <v>5.2287581699346386E-2</v>
      </c>
      <c r="AE98" s="270"/>
      <c r="AF98" s="270">
        <f t="shared" si="622"/>
        <v>4.1884515282032388E-2</v>
      </c>
      <c r="AG98" s="270">
        <f t="shared" si="622"/>
        <v>3.9490445859872679E-2</v>
      </c>
      <c r="AH98" s="270"/>
      <c r="AI98" s="270">
        <f t="shared" si="623"/>
        <v>2.5536705816125646E-2</v>
      </c>
      <c r="AJ98" s="270">
        <f t="shared" si="623"/>
        <v>2.0146520146520158E-2</v>
      </c>
      <c r="AK98" s="270"/>
      <c r="AL98" s="270">
        <f t="shared" ref="AL98" si="636">AL74/SUM(AL$66:AL$79)</f>
        <v>6.4852419174314876E-2</v>
      </c>
      <c r="AM98" s="270">
        <f t="shared" si="634"/>
        <v>5.3658536585365853E-2</v>
      </c>
      <c r="AN98" s="270"/>
      <c r="AO98" s="270">
        <f t="shared" si="625"/>
        <v>4.9295944301906924E-2</v>
      </c>
      <c r="AP98" s="270">
        <f t="shared" si="625"/>
        <v>4.4609665427509347E-2</v>
      </c>
      <c r="AQ98" s="335"/>
      <c r="AR98" s="270">
        <f t="shared" si="626"/>
        <v>5.0462556898437511E-2</v>
      </c>
      <c r="AS98" s="270">
        <f t="shared" si="626"/>
        <v>6.0846560846560982E-2</v>
      </c>
      <c r="AT98" s="335"/>
      <c r="AU98" s="270">
        <f t="shared" si="627"/>
        <v>5.9058882347854232E-2</v>
      </c>
      <c r="AV98" s="270">
        <f t="shared" si="627"/>
        <v>5.5650684931506877E-2</v>
      </c>
      <c r="AW98" s="335"/>
      <c r="AX98" s="270">
        <f t="shared" si="628"/>
        <v>9.3795663783916419E-2</v>
      </c>
      <c r="AY98" s="270">
        <f t="shared" si="628"/>
        <v>8.9665653495440617E-2</v>
      </c>
      <c r="AZ98" s="335"/>
      <c r="BA98" s="270">
        <f t="shared" si="629"/>
        <v>6.4566282794916732E-2</v>
      </c>
      <c r="BB98" s="270">
        <f t="shared" si="629"/>
        <v>7.3431241655540797E-2</v>
      </c>
      <c r="BC98" s="335"/>
      <c r="BD98" s="270">
        <f t="shared" si="630"/>
        <v>4.0639331545322163E-2</v>
      </c>
      <c r="BE98" s="270">
        <f t="shared" si="630"/>
        <v>4.2553191489361604E-2</v>
      </c>
      <c r="BF98" s="335"/>
      <c r="BG98" s="313">
        <f t="shared" si="631"/>
        <v>5.2650544581039078E-2</v>
      </c>
      <c r="BH98" s="313">
        <f t="shared" si="632"/>
        <v>5.279933805206527E-2</v>
      </c>
      <c r="BI98" s="313"/>
    </row>
    <row r="99" spans="1:126" hidden="1" outlineLevel="2" x14ac:dyDescent="0.25">
      <c r="A99" s="833">
        <v>17</v>
      </c>
      <c r="B99" s="270">
        <f t="shared" si="612"/>
        <v>4.3550260757804077E-2</v>
      </c>
      <c r="C99" s="270">
        <f t="shared" si="612"/>
        <v>3.8135593220338999E-2</v>
      </c>
      <c r="D99" s="338"/>
      <c r="E99" s="270">
        <f t="shared" si="613"/>
        <v>5.6652352536575384E-2</v>
      </c>
      <c r="F99" s="270">
        <f t="shared" si="613"/>
        <v>5.2845528455284591E-2</v>
      </c>
      <c r="G99" s="338"/>
      <c r="H99" s="270">
        <f t="shared" si="614"/>
        <v>9.3019429323607142E-2</v>
      </c>
      <c r="I99" s="270">
        <f t="shared" si="614"/>
        <v>0.1137566137566136</v>
      </c>
      <c r="J99" s="270"/>
      <c r="K99" s="270">
        <f t="shared" si="615"/>
        <v>4.2112602405438244E-2</v>
      </c>
      <c r="L99" s="270">
        <f t="shared" si="615"/>
        <v>4.5751633986928039E-2</v>
      </c>
      <c r="M99" s="270"/>
      <c r="N99" s="270">
        <f t="shared" si="616"/>
        <v>4.6353069951671134E-2</v>
      </c>
      <c r="O99" s="270">
        <f t="shared" si="616"/>
        <v>4.5576407506702624E-2</v>
      </c>
      <c r="P99" s="270"/>
      <c r="Q99" s="270">
        <f t="shared" si="617"/>
        <v>4.3434362971702625E-2</v>
      </c>
      <c r="R99" s="270">
        <f t="shared" si="617"/>
        <v>2.3765996343692978E-2</v>
      </c>
      <c r="S99" s="270"/>
      <c r="T99" s="270">
        <f t="shared" si="618"/>
        <v>6.2784750859880015E-2</v>
      </c>
      <c r="U99" s="270">
        <f t="shared" si="618"/>
        <v>5.8577405857740655E-2</v>
      </c>
      <c r="V99" s="270"/>
      <c r="W99" s="270">
        <f t="shared" si="619"/>
        <v>7.4510635290792132E-2</v>
      </c>
      <c r="X99" s="270">
        <f t="shared" si="619"/>
        <v>8.048780487804888E-2</v>
      </c>
      <c r="Y99" s="270"/>
      <c r="Z99" s="270">
        <f t="shared" si="620"/>
        <v>4.4898658945443343E-2</v>
      </c>
      <c r="AA99" s="270">
        <f t="shared" si="620"/>
        <v>4.801920768307328E-2</v>
      </c>
      <c r="AB99" s="270"/>
      <c r="AC99" s="270">
        <f t="shared" si="621"/>
        <v>2.0816653322658075E-2</v>
      </c>
      <c r="AD99" s="270">
        <f t="shared" si="621"/>
        <v>1.9607843137254968E-2</v>
      </c>
      <c r="AE99" s="270"/>
      <c r="AF99" s="270">
        <f t="shared" si="622"/>
        <v>4.133749452979249E-2</v>
      </c>
      <c r="AG99" s="270">
        <f t="shared" si="622"/>
        <v>4.0764331210191032E-2</v>
      </c>
      <c r="AH99" s="270"/>
      <c r="AI99" s="270">
        <f t="shared" si="623"/>
        <v>6.2101788592922376E-2</v>
      </c>
      <c r="AJ99" s="270">
        <f t="shared" si="623"/>
        <v>5.3113553113553057E-2</v>
      </c>
      <c r="AK99" s="270"/>
      <c r="AL99" s="270">
        <f t="shared" ref="AL99" si="637">AL75/SUM(AL$66:AL$79)</f>
        <v>4.5025742700904967E-2</v>
      </c>
      <c r="AM99" s="270">
        <f t="shared" si="634"/>
        <v>4.8780487804878113E-2</v>
      </c>
      <c r="AN99" s="270"/>
      <c r="AO99" s="270">
        <f t="shared" si="625"/>
        <v>3.608210168756551E-2</v>
      </c>
      <c r="AP99" s="270">
        <f t="shared" si="625"/>
        <v>3.2218091697645571E-2</v>
      </c>
      <c r="AQ99" s="335"/>
      <c r="AR99" s="270">
        <f t="shared" si="626"/>
        <v>5.1056029362920037E-2</v>
      </c>
      <c r="AS99" s="270">
        <f t="shared" si="626"/>
        <v>5.2910052910052935E-2</v>
      </c>
      <c r="AT99" s="335"/>
      <c r="AU99" s="270">
        <f t="shared" si="627"/>
        <v>4.5731316346313555E-2</v>
      </c>
      <c r="AV99" s="270">
        <f t="shared" si="627"/>
        <v>4.2808219178082176E-2</v>
      </c>
      <c r="AW99" s="335"/>
      <c r="AX99" s="270">
        <f t="shared" si="628"/>
        <v>7.3623288862529307E-2</v>
      </c>
      <c r="AY99" s="270">
        <f t="shared" si="628"/>
        <v>7.1428571428571425E-2</v>
      </c>
      <c r="AZ99" s="335"/>
      <c r="BA99" s="270">
        <f t="shared" si="629"/>
        <v>4.7286212363083183E-2</v>
      </c>
      <c r="BB99" s="270">
        <f t="shared" si="629"/>
        <v>5.2069425901201546E-2</v>
      </c>
      <c r="BC99" s="335"/>
      <c r="BD99" s="270">
        <f t="shared" si="630"/>
        <v>4.1128298252611828E-2</v>
      </c>
      <c r="BE99" s="270">
        <f t="shared" si="630"/>
        <v>4.00500625782228E-2</v>
      </c>
      <c r="BF99" s="335"/>
      <c r="BG99" s="313">
        <f t="shared" si="631"/>
        <v>5.2750844598806634E-2</v>
      </c>
      <c r="BH99" s="313">
        <f t="shared" si="632"/>
        <v>5.1941996815924076E-2</v>
      </c>
      <c r="BI99" s="313"/>
    </row>
    <row r="100" spans="1:126" hidden="1" outlineLevel="2" x14ac:dyDescent="0.25">
      <c r="A100" s="833">
        <v>18</v>
      </c>
      <c r="B100" s="270">
        <f t="shared" si="612"/>
        <v>6.4806347166267125E-2</v>
      </c>
      <c r="C100" s="270">
        <f t="shared" si="612"/>
        <v>7.2033898305084693E-2</v>
      </c>
      <c r="D100" s="338"/>
      <c r="E100" s="270">
        <f t="shared" si="613"/>
        <v>5.4588887029910965E-2</v>
      </c>
      <c r="F100" s="270">
        <f t="shared" si="613"/>
        <v>6.0975609756097511E-2</v>
      </c>
      <c r="G100" s="338"/>
      <c r="H100" s="270">
        <f t="shared" si="614"/>
        <v>7.0491286284296198E-2</v>
      </c>
      <c r="I100" s="270">
        <f t="shared" si="614"/>
        <v>7.1428571428571452E-2</v>
      </c>
      <c r="J100" s="270"/>
      <c r="K100" s="270">
        <f t="shared" si="615"/>
        <v>4.3419905874150254E-2</v>
      </c>
      <c r="L100" s="270">
        <f t="shared" si="615"/>
        <v>4.5751633986928039E-2</v>
      </c>
      <c r="M100" s="270"/>
      <c r="N100" s="270">
        <f t="shared" si="616"/>
        <v>4.5063680973627791E-2</v>
      </c>
      <c r="O100" s="270">
        <f t="shared" si="616"/>
        <v>4.6916890080428972E-2</v>
      </c>
      <c r="P100" s="270"/>
      <c r="Q100" s="270">
        <f t="shared" si="617"/>
        <v>4.6180924933753656E-2</v>
      </c>
      <c r="R100" s="270">
        <f t="shared" si="617"/>
        <v>4.5703839122486246E-2</v>
      </c>
      <c r="S100" s="270"/>
      <c r="T100" s="270">
        <f t="shared" si="618"/>
        <v>5.8282760980353308E-2</v>
      </c>
      <c r="U100" s="270">
        <f t="shared" si="618"/>
        <v>5.0209205020920467E-2</v>
      </c>
      <c r="V100" s="270"/>
      <c r="W100" s="270">
        <f t="shared" si="619"/>
        <v>4.4533955197512562E-2</v>
      </c>
      <c r="X100" s="270">
        <f t="shared" si="619"/>
        <v>4.878048780487796E-2</v>
      </c>
      <c r="Y100" s="270"/>
      <c r="Z100" s="270">
        <f t="shared" si="620"/>
        <v>5.7718683328253653E-2</v>
      </c>
      <c r="AA100" s="270">
        <f t="shared" si="620"/>
        <v>5.4021608643457189E-2</v>
      </c>
      <c r="AB100" s="270"/>
      <c r="AC100" s="270">
        <f t="shared" si="621"/>
        <v>6.2073187962134437E-2</v>
      </c>
      <c r="AD100" s="270">
        <f t="shared" si="621"/>
        <v>7.1895424836601357E-2</v>
      </c>
      <c r="AE100" s="270"/>
      <c r="AF100" s="270">
        <f t="shared" si="622"/>
        <v>3.435290324066604E-2</v>
      </c>
      <c r="AG100" s="270">
        <f t="shared" si="622"/>
        <v>3.9490445859872519E-2</v>
      </c>
      <c r="AH100" s="270"/>
      <c r="AI100" s="270">
        <f t="shared" si="623"/>
        <v>6.535144955349137E-2</v>
      </c>
      <c r="AJ100" s="270">
        <f t="shared" si="623"/>
        <v>4.9450549450549351E-2</v>
      </c>
      <c r="AK100" s="270"/>
      <c r="AL100" s="270">
        <f t="shared" ref="AL100" si="638">AL76/SUM(AL$66:AL$79)</f>
        <v>8.3431933740526459E-2</v>
      </c>
      <c r="AM100" s="270">
        <f t="shared" si="634"/>
        <v>8.780487804878051E-2</v>
      </c>
      <c r="AN100" s="270"/>
      <c r="AO100" s="270">
        <f t="shared" si="625"/>
        <v>5.1169009503848388E-2</v>
      </c>
      <c r="AP100" s="270">
        <f t="shared" si="625"/>
        <v>4.7087980173482022E-2</v>
      </c>
      <c r="AQ100" s="335"/>
      <c r="AR100" s="270">
        <f t="shared" si="626"/>
        <v>5.8129978555845306E-2</v>
      </c>
      <c r="AS100" s="270">
        <f t="shared" si="626"/>
        <v>5.2910052910052713E-2</v>
      </c>
      <c r="AT100" s="335"/>
      <c r="AU100" s="270">
        <f t="shared" si="627"/>
        <v>5.6155733954558355E-2</v>
      </c>
      <c r="AV100" s="270">
        <f t="shared" si="627"/>
        <v>5.0513698630137049E-2</v>
      </c>
      <c r="AW100" s="335"/>
      <c r="AX100" s="270">
        <f t="shared" si="628"/>
        <v>6.006813708705544E-2</v>
      </c>
      <c r="AY100" s="270">
        <f t="shared" si="628"/>
        <v>5.9270516717325229E-2</v>
      </c>
      <c r="AZ100" s="335"/>
      <c r="BA100" s="270">
        <f t="shared" si="629"/>
        <v>6.3058752113840544E-2</v>
      </c>
      <c r="BB100" s="270">
        <f t="shared" si="629"/>
        <v>6.9425901201602067E-2</v>
      </c>
      <c r="BC100" s="335"/>
      <c r="BD100" s="270">
        <f t="shared" si="630"/>
        <v>4.5673622573898766E-2</v>
      </c>
      <c r="BE100" s="270">
        <f t="shared" si="630"/>
        <v>4.8811013767208977E-2</v>
      </c>
      <c r="BF100" s="335"/>
      <c r="BG100" s="313">
        <f t="shared" si="631"/>
        <v>5.6318292531181216E-2</v>
      </c>
      <c r="BH100" s="313">
        <f t="shared" si="632"/>
        <v>5.6023491754287648E-2</v>
      </c>
      <c r="BI100" s="313"/>
    </row>
    <row r="101" spans="1:126" hidden="1" outlineLevel="2" x14ac:dyDescent="0.25">
      <c r="A101" s="833">
        <v>19</v>
      </c>
      <c r="B101" s="270">
        <f t="shared" si="612"/>
        <v>7.2048246372871341E-2</v>
      </c>
      <c r="C101" s="270">
        <f t="shared" si="612"/>
        <v>7.2033898305084693E-2</v>
      </c>
      <c r="D101" s="338"/>
      <c r="E101" s="270">
        <f t="shared" si="613"/>
        <v>7.5493093896975519E-2</v>
      </c>
      <c r="F101" s="270">
        <f t="shared" si="613"/>
        <v>7.3170731707317152E-2</v>
      </c>
      <c r="G101" s="338"/>
      <c r="H101" s="270">
        <f t="shared" si="614"/>
        <v>0.1260917853861869</v>
      </c>
      <c r="I101" s="270">
        <f t="shared" si="614"/>
        <v>9.2592592592592615E-2</v>
      </c>
      <c r="J101" s="270"/>
      <c r="K101" s="270">
        <f t="shared" si="615"/>
        <v>8.164545929928535E-2</v>
      </c>
      <c r="L101" s="270">
        <f t="shared" si="615"/>
        <v>7.8431372549019579E-2</v>
      </c>
      <c r="M101" s="270"/>
      <c r="N101" s="270">
        <f t="shared" si="616"/>
        <v>8.4107121323154399E-2</v>
      </c>
      <c r="O101" s="270">
        <f t="shared" si="616"/>
        <v>8.5790884718498606E-2</v>
      </c>
      <c r="P101" s="270"/>
      <c r="Q101" s="270">
        <f t="shared" si="617"/>
        <v>7.2760681611574216E-2</v>
      </c>
      <c r="R101" s="270">
        <f t="shared" si="617"/>
        <v>7.3126142595978133E-2</v>
      </c>
      <c r="S101" s="270"/>
      <c r="T101" s="270">
        <f t="shared" si="618"/>
        <v>9.1597486088851265E-2</v>
      </c>
      <c r="U101" s="270">
        <f t="shared" si="618"/>
        <v>9.623430962343095E-2</v>
      </c>
      <c r="V101" s="270"/>
      <c r="W101" s="270">
        <f t="shared" si="619"/>
        <v>6.3698678538619075E-2</v>
      </c>
      <c r="X101" s="270">
        <f t="shared" si="619"/>
        <v>6.8292682926829357E-2</v>
      </c>
      <c r="Y101" s="270"/>
      <c r="Z101" s="270">
        <f t="shared" si="620"/>
        <v>7.9872752209692158E-2</v>
      </c>
      <c r="AA101" s="270">
        <f t="shared" si="620"/>
        <v>8.163265306122465E-2</v>
      </c>
      <c r="AB101" s="270"/>
      <c r="AC101" s="270">
        <f t="shared" si="621"/>
        <v>6.8054443554843858E-2</v>
      </c>
      <c r="AD101" s="270">
        <f t="shared" si="621"/>
        <v>7.8431372549019676E-2</v>
      </c>
      <c r="AE101" s="270"/>
      <c r="AF101" s="270">
        <f t="shared" si="622"/>
        <v>9.977082709537731E-2</v>
      </c>
      <c r="AG101" s="270">
        <f t="shared" si="622"/>
        <v>0.10063694267515938</v>
      </c>
      <c r="AH101" s="270"/>
      <c r="AI101" s="270">
        <f t="shared" si="623"/>
        <v>0.13804662112023741</v>
      </c>
      <c r="AJ101" s="270">
        <f t="shared" si="623"/>
        <v>0.14835164835164852</v>
      </c>
      <c r="AK101" s="270"/>
      <c r="AL101" s="270">
        <f t="shared" ref="AL101" si="639">AL77/SUM(AL$66:AL$79)</f>
        <v>0.10313069617217226</v>
      </c>
      <c r="AM101" s="270">
        <f t="shared" si="634"/>
        <v>0.10243902439024373</v>
      </c>
      <c r="AN101" s="270"/>
      <c r="AO101" s="270">
        <f t="shared" si="625"/>
        <v>9.2870306797239316E-2</v>
      </c>
      <c r="AP101" s="270">
        <f t="shared" si="625"/>
        <v>9.789343246592315E-2</v>
      </c>
      <c r="AQ101" s="335"/>
      <c r="AR101" s="270">
        <f t="shared" si="626"/>
        <v>6.1242707327289994E-2</v>
      </c>
      <c r="AS101" s="270">
        <f t="shared" si="626"/>
        <v>5.8201058201058302E-2</v>
      </c>
      <c r="AT101" s="335"/>
      <c r="AU101" s="270">
        <f t="shared" si="627"/>
        <v>6.34385989305878E-2</v>
      </c>
      <c r="AV101" s="270">
        <f t="shared" si="627"/>
        <v>6.2499999999999986E-2</v>
      </c>
      <c r="AW101" s="335"/>
      <c r="AX101" s="270">
        <f t="shared" si="628"/>
        <v>5.1697723963872899E-2</v>
      </c>
      <c r="AY101" s="270">
        <f t="shared" si="628"/>
        <v>5.1671732522796485E-2</v>
      </c>
      <c r="AZ101" s="335"/>
      <c r="BA101" s="270">
        <f t="shared" si="629"/>
        <v>3.4679487042585465E-2</v>
      </c>
      <c r="BB101" s="270">
        <f t="shared" si="629"/>
        <v>4.0053404539385842E-2</v>
      </c>
      <c r="BC101" s="335"/>
      <c r="BD101" s="270">
        <f t="shared" si="630"/>
        <v>4.4551065203641528E-2</v>
      </c>
      <c r="BE101" s="270">
        <f t="shared" si="630"/>
        <v>4.3804755944931127E-2</v>
      </c>
      <c r="BF101" s="335"/>
      <c r="BG101" s="313">
        <f t="shared" si="631"/>
        <v>7.8584074591491707E-2</v>
      </c>
      <c r="BH101" s="313">
        <f t="shared" si="632"/>
        <v>7.865049479436298E-2</v>
      </c>
      <c r="BI101" s="313"/>
    </row>
    <row r="102" spans="1:126" hidden="1" outlineLevel="2" x14ac:dyDescent="0.25">
      <c r="A102" s="285">
        <v>20</v>
      </c>
      <c r="B102" s="270">
        <f t="shared" si="612"/>
        <v>0.1244716873872314</v>
      </c>
      <c r="C102" s="270">
        <f t="shared" si="612"/>
        <v>0.13983050847457626</v>
      </c>
      <c r="D102" s="338"/>
      <c r="E102" s="270">
        <f t="shared" si="613"/>
        <v>6.303794173963144E-2</v>
      </c>
      <c r="F102" s="270">
        <f t="shared" si="613"/>
        <v>7.9268292682926719E-2</v>
      </c>
      <c r="G102" s="338"/>
      <c r="H102" s="270">
        <f t="shared" si="614"/>
        <v>0.10546955341350031</v>
      </c>
      <c r="I102" s="270">
        <f t="shared" si="614"/>
        <v>9.2592592592592615E-2</v>
      </c>
      <c r="J102" s="270"/>
      <c r="K102" s="270">
        <f t="shared" si="615"/>
        <v>0.13177618964615667</v>
      </c>
      <c r="L102" s="270">
        <f t="shared" si="615"/>
        <v>0.12745098039215697</v>
      </c>
      <c r="M102" s="270"/>
      <c r="N102" s="270">
        <f t="shared" si="616"/>
        <v>8.0804801350611619E-2</v>
      </c>
      <c r="O102" s="270">
        <f t="shared" si="616"/>
        <v>8.3109919571045396E-2</v>
      </c>
      <c r="P102" s="270"/>
      <c r="Q102" s="270">
        <f t="shared" si="617"/>
        <v>0.12067464845941098</v>
      </c>
      <c r="R102" s="270">
        <f t="shared" si="617"/>
        <v>0.11974405850091398</v>
      </c>
      <c r="S102" s="270"/>
      <c r="T102" s="270">
        <f t="shared" si="618"/>
        <v>7.4435900668095342E-2</v>
      </c>
      <c r="U102" s="270">
        <f t="shared" si="618"/>
        <v>7.5313807531380811E-2</v>
      </c>
      <c r="V102" s="270"/>
      <c r="W102" s="270">
        <f t="shared" si="619"/>
        <v>0.11453607518903262</v>
      </c>
      <c r="X102" s="270">
        <f t="shared" si="619"/>
        <v>9.5121951219512085E-2</v>
      </c>
      <c r="Y102" s="270"/>
      <c r="Z102" s="270">
        <f t="shared" si="620"/>
        <v>9.9937773036675656E-2</v>
      </c>
      <c r="AA102" s="270">
        <f t="shared" si="620"/>
        <v>9.4837935174069507E-2</v>
      </c>
      <c r="AB102" s="270"/>
      <c r="AC102" s="270">
        <f t="shared" si="621"/>
        <v>0.16154099750388548</v>
      </c>
      <c r="AD102" s="270">
        <f t="shared" si="621"/>
        <v>0.18954248366013077</v>
      </c>
      <c r="AE102" s="270"/>
      <c r="AF102" s="270">
        <f t="shared" si="622"/>
        <v>9.6148973904231078E-2</v>
      </c>
      <c r="AG102" s="270">
        <f t="shared" si="622"/>
        <v>0.10828025477706996</v>
      </c>
      <c r="AH102" s="270"/>
      <c r="AI102" s="270">
        <f t="shared" si="623"/>
        <v>0.1249456257516441</v>
      </c>
      <c r="AJ102" s="270">
        <f t="shared" si="623"/>
        <v>0.14652014652014644</v>
      </c>
      <c r="AK102" s="270"/>
      <c r="AL102" s="270">
        <f t="shared" ref="AL102" si="640">AL78/SUM(AL$66:AL$79)</f>
        <v>0.10703207444597229</v>
      </c>
      <c r="AM102" s="270">
        <f t="shared" si="634"/>
        <v>0.11707317073170742</v>
      </c>
      <c r="AN102" s="270"/>
      <c r="AO102" s="270">
        <f t="shared" si="625"/>
        <v>0.12280321372215981</v>
      </c>
      <c r="AP102" s="270">
        <f t="shared" si="625"/>
        <v>0.13506815365551428</v>
      </c>
      <c r="AQ102" s="335"/>
      <c r="AR102" s="270">
        <f t="shared" si="626"/>
        <v>8.3827127989001812E-2</v>
      </c>
      <c r="AS102" s="270">
        <f t="shared" si="626"/>
        <v>8.3333333333333315E-2</v>
      </c>
      <c r="AT102" s="335"/>
      <c r="AU102" s="270">
        <f t="shared" si="627"/>
        <v>0.14080461968967545</v>
      </c>
      <c r="AV102" s="270">
        <f t="shared" si="627"/>
        <v>0.15667808219178098</v>
      </c>
      <c r="AW102" s="335"/>
      <c r="AX102" s="270">
        <f t="shared" si="628"/>
        <v>8.7012742804785423E-2</v>
      </c>
      <c r="AY102" s="270">
        <f t="shared" si="628"/>
        <v>8.9665653495440617E-2</v>
      </c>
      <c r="AZ102" s="335"/>
      <c r="BA102" s="270">
        <f t="shared" si="629"/>
        <v>0.13170793050333823</v>
      </c>
      <c r="BB102" s="270">
        <f t="shared" si="629"/>
        <v>0.13484646194926589</v>
      </c>
      <c r="BC102" s="335"/>
      <c r="BD102" s="270">
        <f t="shared" si="630"/>
        <v>0.11421160385487591</v>
      </c>
      <c r="BE102" s="270">
        <f t="shared" si="630"/>
        <v>0.11389236545682103</v>
      </c>
      <c r="BF102" s="335"/>
      <c r="BG102" s="313">
        <f t="shared" si="631"/>
        <v>0.11048667680342726</v>
      </c>
      <c r="BH102" s="313">
        <f t="shared" si="632"/>
        <v>0.11518277255904916</v>
      </c>
      <c r="BI102" s="313"/>
    </row>
    <row r="103" spans="1:126" hidden="1" outlineLevel="2" x14ac:dyDescent="0.25">
      <c r="A103" s="284">
        <v>21</v>
      </c>
      <c r="B103" s="270">
        <f t="shared" si="612"/>
        <v>0.19113176301935297</v>
      </c>
      <c r="C103" s="270">
        <f t="shared" si="612"/>
        <v>0.19915254237288141</v>
      </c>
      <c r="D103" s="338"/>
      <c r="E103" s="270">
        <f t="shared" si="613"/>
        <v>0.37529976019184658</v>
      </c>
      <c r="F103" s="270">
        <f t="shared" si="613"/>
        <v>0.36585365853658541</v>
      </c>
      <c r="G103" s="338"/>
      <c r="H103" s="270">
        <f t="shared" si="614"/>
        <v>0.2033703089221319</v>
      </c>
      <c r="I103" s="270">
        <f t="shared" si="614"/>
        <v>0.19576719576719573</v>
      </c>
      <c r="J103" s="270"/>
      <c r="K103" s="270">
        <f t="shared" si="615"/>
        <v>0.19170298065190858</v>
      </c>
      <c r="L103" s="270">
        <f t="shared" si="615"/>
        <v>0.18627450980392152</v>
      </c>
      <c r="M103" s="270"/>
      <c r="N103" s="270">
        <f t="shared" si="616"/>
        <v>0.16864094691242359</v>
      </c>
      <c r="O103" s="270">
        <f t="shared" si="616"/>
        <v>0.15951742627345855</v>
      </c>
      <c r="P103" s="270"/>
      <c r="Q103" s="270">
        <f t="shared" si="617"/>
        <v>0.23083112512330509</v>
      </c>
      <c r="R103" s="270">
        <f t="shared" si="617"/>
        <v>0.21663619744058507</v>
      </c>
      <c r="S103" s="270"/>
      <c r="T103" s="270">
        <f t="shared" si="618"/>
        <v>0.22926833660477938</v>
      </c>
      <c r="U103" s="270">
        <f t="shared" si="618"/>
        <v>0.2343096234309624</v>
      </c>
      <c r="V103" s="270"/>
      <c r="W103" s="270">
        <f t="shared" si="619"/>
        <v>0.217807928768285</v>
      </c>
      <c r="X103" s="270">
        <f t="shared" si="619"/>
        <v>0.21219512195121956</v>
      </c>
      <c r="Y103" s="270"/>
      <c r="Z103" s="270">
        <f t="shared" si="620"/>
        <v>0.18271233363811856</v>
      </c>
      <c r="AA103" s="270">
        <f t="shared" si="620"/>
        <v>0.17647058823529416</v>
      </c>
      <c r="AB103" s="270"/>
      <c r="AC103" s="270">
        <f t="shared" si="621"/>
        <v>0.28775961946027406</v>
      </c>
      <c r="AD103" s="270">
        <f t="shared" si="621"/>
        <v>0.27450980392156854</v>
      </c>
      <c r="AE103" s="270"/>
      <c r="AF103" s="270">
        <f t="shared" si="622"/>
        <v>0.20130363682428543</v>
      </c>
      <c r="AG103" s="270">
        <f t="shared" si="622"/>
        <v>0.19235668789808918</v>
      </c>
      <c r="AH103" s="270"/>
      <c r="AI103" s="270">
        <f t="shared" si="623"/>
        <v>0.19006678437092195</v>
      </c>
      <c r="AJ103" s="270">
        <f t="shared" si="623"/>
        <v>0.19047619047619047</v>
      </c>
      <c r="AK103" s="270"/>
      <c r="AL103" s="270">
        <f t="shared" ref="AL103" si="641">AL79/SUM(AL$66:AL$79)</f>
        <v>0.12980077387995265</v>
      </c>
      <c r="AM103" s="270">
        <f t="shared" si="634"/>
        <v>0.16097560975609757</v>
      </c>
      <c r="AN103" s="270"/>
      <c r="AO103" s="270">
        <f t="shared" si="625"/>
        <v>0.20726580662258043</v>
      </c>
      <c r="AP103" s="270">
        <f t="shared" si="625"/>
        <v>0.20693928128872366</v>
      </c>
      <c r="AQ103" s="335"/>
      <c r="AR103" s="270">
        <f t="shared" si="626"/>
        <v>0.16940337027180763</v>
      </c>
      <c r="AS103" s="270">
        <f t="shared" si="626"/>
        <v>0.18915343915343918</v>
      </c>
      <c r="AT103" s="335"/>
      <c r="AU103" s="270">
        <f t="shared" si="627"/>
        <v>0.20543693171591162</v>
      </c>
      <c r="AV103" s="270">
        <f t="shared" si="627"/>
        <v>0.23544520547945197</v>
      </c>
      <c r="AW103" s="335"/>
      <c r="AX103" s="270">
        <f t="shared" si="628"/>
        <v>0.12846681291549386</v>
      </c>
      <c r="AY103" s="270">
        <f t="shared" si="628"/>
        <v>0.14285714285714285</v>
      </c>
      <c r="AZ103" s="335"/>
      <c r="BA103" s="270">
        <f t="shared" si="629"/>
        <v>0.22527998299505378</v>
      </c>
      <c r="BB103" s="270">
        <f t="shared" si="629"/>
        <v>0.20961281708945251</v>
      </c>
      <c r="BC103" s="335"/>
      <c r="BD103" s="270">
        <f t="shared" si="630"/>
        <v>0.20578721711554254</v>
      </c>
      <c r="BE103" s="270">
        <f t="shared" si="630"/>
        <v>0.20400500625782234</v>
      </c>
      <c r="BF103" s="335"/>
      <c r="BG103" s="313">
        <f t="shared" si="631"/>
        <v>0.21277779951151221</v>
      </c>
      <c r="BH103" s="313">
        <f t="shared" si="632"/>
        <v>0.21219817150487957</v>
      </c>
      <c r="BI103" s="313"/>
    </row>
    <row r="104" spans="1:126" s="376" customFormat="1" hidden="1" outlineLevel="2" x14ac:dyDescent="0.25">
      <c r="B104" s="376">
        <f>SUM(B84:B103)</f>
        <v>0.99999999999999989</v>
      </c>
      <c r="C104" s="376">
        <f>SUM(C84:C103)</f>
        <v>0.99999999999999989</v>
      </c>
      <c r="E104" s="376">
        <f>SUM(E84:E103)</f>
        <v>1</v>
      </c>
      <c r="F104" s="376">
        <f>SUM(F84:F103)</f>
        <v>1</v>
      </c>
      <c r="H104" s="376">
        <f>SUM(H84:H103)</f>
        <v>0.99999999999999989</v>
      </c>
      <c r="I104" s="376">
        <f>SUM(I84:I103)</f>
        <v>0.99999999999999967</v>
      </c>
      <c r="K104" s="376">
        <f>SUM(K84:K103)</f>
        <v>1</v>
      </c>
      <c r="L104" s="376">
        <f>SUM(L84:L103)</f>
        <v>1</v>
      </c>
      <c r="N104" s="376">
        <f>SUM(N84:N103)</f>
        <v>1</v>
      </c>
      <c r="O104" s="376">
        <f>SUM(O84:O103)</f>
        <v>1</v>
      </c>
      <c r="Q104" s="376">
        <f>SUM(Q84:Q103)</f>
        <v>1</v>
      </c>
      <c r="R104" s="376">
        <f>SUM(R84:R103)</f>
        <v>1.0000000000000002</v>
      </c>
      <c r="T104" s="376">
        <f>SUM(T84:T103)</f>
        <v>1</v>
      </c>
      <c r="U104" s="376">
        <f>SUM(U84:U103)</f>
        <v>1</v>
      </c>
      <c r="W104" s="376">
        <f>SUM(W84:W103)</f>
        <v>1</v>
      </c>
      <c r="X104" s="376">
        <f>SUM(X84:X103)</f>
        <v>1</v>
      </c>
      <c r="Z104" s="376">
        <f>SUM(Z84:Z103)</f>
        <v>1</v>
      </c>
      <c r="AA104" s="376">
        <f>SUM(AA84:AA103)</f>
        <v>1</v>
      </c>
      <c r="AC104" s="376">
        <f>SUM(AC84:AC103)</f>
        <v>1</v>
      </c>
      <c r="AD104" s="376">
        <f>SUM(AD84:AD103)</f>
        <v>1</v>
      </c>
      <c r="AF104" s="376">
        <f>SUM(AF84:AF103)</f>
        <v>1</v>
      </c>
      <c r="AG104" s="376">
        <f>SUM(AG84:AG103)</f>
        <v>1</v>
      </c>
      <c r="AI104" s="376">
        <f>SUM(AI84:AI103)</f>
        <v>1</v>
      </c>
      <c r="AJ104" s="376">
        <f>SUM(AJ84:AJ103)</f>
        <v>1</v>
      </c>
      <c r="AL104" s="376">
        <f>SUM(AL84:AL103)</f>
        <v>1.0000000000000002</v>
      </c>
      <c r="AM104" s="376">
        <f>SUM(AM84:AM103)</f>
        <v>1</v>
      </c>
      <c r="AO104" s="376">
        <f>SUM(AO84:AO103)</f>
        <v>0.99999999999999989</v>
      </c>
      <c r="AP104" s="376">
        <f>SUM(AP84:AP103)</f>
        <v>1</v>
      </c>
      <c r="AR104" s="376">
        <f>SUM(AR84:AR103)</f>
        <v>1</v>
      </c>
      <c r="AS104" s="376">
        <f>SUM(AS84:AS103)</f>
        <v>0.99999999999999989</v>
      </c>
      <c r="AU104" s="376">
        <f>SUM(AU84:AU103)</f>
        <v>0.99999999999999989</v>
      </c>
      <c r="AV104" s="376">
        <f>SUM(AV84:AV103)</f>
        <v>1.0000000000000002</v>
      </c>
      <c r="AX104" s="376">
        <f>SUM(AX84:AX103)</f>
        <v>1.0000000000000002</v>
      </c>
      <c r="AY104" s="376">
        <f>SUM(AY84:AY103)</f>
        <v>0.99999999999999978</v>
      </c>
      <c r="BA104" s="376">
        <f>SUM(BA84:BA103)</f>
        <v>1</v>
      </c>
      <c r="BB104" s="376">
        <f>SUM(BB84:BB103)</f>
        <v>1</v>
      </c>
      <c r="BD104" s="376">
        <f>SUM(BD84:BD103)</f>
        <v>1</v>
      </c>
      <c r="BE104" s="376">
        <f>SUM(BE84:BE103)</f>
        <v>1.0000000000000002</v>
      </c>
      <c r="BG104" s="376">
        <f>SUM(BG84:BG103)</f>
        <v>1</v>
      </c>
      <c r="BH104" s="376">
        <f>SUM(BH84:BH103)</f>
        <v>1</v>
      </c>
      <c r="BP104" s="378"/>
      <c r="BQ104" s="166"/>
      <c r="BR104" s="166"/>
      <c r="BS104" s="166"/>
      <c r="BT104" s="166"/>
      <c r="BU104" s="166"/>
      <c r="BV104" s="166"/>
      <c r="BW104" s="166"/>
      <c r="BX104" s="166"/>
      <c r="BY104" s="166"/>
      <c r="BZ104" s="166"/>
      <c r="CA104" s="166"/>
      <c r="CB104" s="166"/>
      <c r="CC104" s="166"/>
      <c r="CD104" s="166"/>
      <c r="CE104" s="378"/>
      <c r="CP104" s="377"/>
      <c r="CQ104" s="377"/>
    </row>
    <row r="105" spans="1:126" hidden="1" outlineLevel="2" x14ac:dyDescent="0.25">
      <c r="A105" s="12" t="s">
        <v>283</v>
      </c>
      <c r="B105" s="20">
        <f>SUM(B101:B103)/1</f>
        <v>0.38765169677945571</v>
      </c>
      <c r="C105" s="20">
        <f>SUM(C101:C103)/1</f>
        <v>0.41101694915254239</v>
      </c>
      <c r="E105" s="20">
        <f t="shared" ref="E105:F105" si="642">SUM(E101:E103)/1</f>
        <v>0.51383079582845359</v>
      </c>
      <c r="F105" s="20">
        <f t="shared" si="642"/>
        <v>0.51829268292682928</v>
      </c>
      <c r="H105" s="20">
        <f t="shared" ref="H105:I105" si="643">SUM(H101:H103)/1</f>
        <v>0.43493164772181914</v>
      </c>
      <c r="I105" s="20">
        <f t="shared" si="643"/>
        <v>0.38095238095238093</v>
      </c>
      <c r="J105" s="20"/>
      <c r="K105" s="20">
        <f t="shared" ref="K105:L105" si="644">SUM(K101:K103)/1</f>
        <v>0.40512462959735063</v>
      </c>
      <c r="L105" s="20">
        <f t="shared" si="644"/>
        <v>0.39215686274509809</v>
      </c>
      <c r="M105" s="20"/>
      <c r="N105" s="20">
        <f t="shared" ref="N105:O105" si="645">SUM(N101:N103)/1</f>
        <v>0.33355286958618963</v>
      </c>
      <c r="O105" s="20">
        <f t="shared" si="645"/>
        <v>0.32841823056300257</v>
      </c>
      <c r="P105" s="20"/>
      <c r="Q105" s="20">
        <f t="shared" ref="Q105:R105" si="646">SUM(Q101:Q103)/1</f>
        <v>0.42426645519429029</v>
      </c>
      <c r="R105" s="20">
        <f t="shared" si="646"/>
        <v>0.40950639853747717</v>
      </c>
      <c r="S105" s="20"/>
      <c r="T105" s="20">
        <f t="shared" ref="T105:U105" si="647">SUM(T101:T103)/1</f>
        <v>0.39530172336172598</v>
      </c>
      <c r="U105" s="20">
        <f t="shared" si="647"/>
        <v>0.40585774058577417</v>
      </c>
      <c r="V105" s="20"/>
      <c r="W105" s="20">
        <f t="shared" ref="W105:X105" si="648">SUM(W101:W103)/1</f>
        <v>0.39604268249593666</v>
      </c>
      <c r="X105" s="20">
        <f t="shared" si="648"/>
        <v>0.37560975609756098</v>
      </c>
      <c r="Y105" s="20"/>
      <c r="Z105" s="20">
        <f t="shared" ref="Z105:AA105" si="649">SUM(Z101:Z103)/1</f>
        <v>0.36252285888448638</v>
      </c>
      <c r="AA105" s="20">
        <f t="shared" si="649"/>
        <v>0.35294117647058831</v>
      </c>
      <c r="AB105" s="20"/>
      <c r="AC105" s="20">
        <f t="shared" ref="AC105:AD105" si="650">SUM(AC101:AC103)/1</f>
        <v>0.51735506051900337</v>
      </c>
      <c r="AD105" s="20">
        <f t="shared" si="650"/>
        <v>0.54248366013071903</v>
      </c>
      <c r="AE105" s="20"/>
      <c r="AF105" s="20">
        <f t="shared" ref="AF105:AG105" si="651">SUM(AF101:AF103)/1</f>
        <v>0.3972234378238938</v>
      </c>
      <c r="AG105" s="20">
        <f t="shared" si="651"/>
        <v>0.40127388535031849</v>
      </c>
      <c r="AH105" s="20"/>
      <c r="AI105" s="20">
        <f t="shared" ref="AI105:AJ105" si="652">SUM(AI101:AI103)/1</f>
        <v>0.45305903124280344</v>
      </c>
      <c r="AJ105" s="20">
        <f t="shared" si="652"/>
        <v>0.4853479853479854</v>
      </c>
      <c r="AK105" s="20"/>
      <c r="AL105" s="20">
        <f t="shared" ref="AL105:AM105" si="653">SUM(AL101:AL103)/1</f>
        <v>0.33996354449809718</v>
      </c>
      <c r="AM105" s="20">
        <f t="shared" si="653"/>
        <v>0.38048780487804867</v>
      </c>
      <c r="AN105" s="20"/>
      <c r="AO105" s="20">
        <f t="shared" ref="AO105:AP105" si="654">SUM(AO101:AO103)/1</f>
        <v>0.42293932714197957</v>
      </c>
      <c r="AP105" s="20">
        <f t="shared" si="654"/>
        <v>0.4399008674101611</v>
      </c>
      <c r="AQ105" s="20"/>
      <c r="AR105" s="20">
        <f t="shared" ref="AR105:AS105" si="655">SUM(AR101:AR103)/1</f>
        <v>0.31447320558809944</v>
      </c>
      <c r="AS105" s="20">
        <f t="shared" si="655"/>
        <v>0.33068783068783081</v>
      </c>
      <c r="AT105" s="20"/>
      <c r="AU105" s="20">
        <f t="shared" ref="AU105:AV105" si="656">SUM(AU101:AU103)/1</f>
        <v>0.40968015033617489</v>
      </c>
      <c r="AV105" s="20">
        <f t="shared" si="656"/>
        <v>0.45462328767123295</v>
      </c>
      <c r="AW105" s="20"/>
      <c r="AX105" s="20">
        <f t="shared" ref="AX105:AY105" si="657">SUM(AX101:AX103)/1</f>
        <v>0.26717727968415217</v>
      </c>
      <c r="AY105" s="20">
        <f t="shared" si="657"/>
        <v>0.28419452887537994</v>
      </c>
      <c r="AZ105" s="20"/>
      <c r="BA105" s="20">
        <f t="shared" ref="BA105:BB105" si="658">SUM(BA101:BA103)/1</f>
        <v>0.39166740054097748</v>
      </c>
      <c r="BB105" s="20">
        <f t="shared" si="658"/>
        <v>0.38451268357810425</v>
      </c>
      <c r="BC105" s="20"/>
      <c r="BD105" s="20">
        <f t="shared" ref="BD105:BE105" si="659">SUM(BD101:BD103)/1</f>
        <v>0.36454988617405998</v>
      </c>
      <c r="BE105" s="20">
        <f t="shared" si="659"/>
        <v>0.36170212765957449</v>
      </c>
      <c r="BF105" s="20"/>
      <c r="BG105" s="20">
        <f t="shared" ref="BG105:BH105" si="660">SUM(BG101:BG103)/1</f>
        <v>0.40184855090643118</v>
      </c>
      <c r="BH105" s="20">
        <f t="shared" si="660"/>
        <v>0.40603143885829174</v>
      </c>
      <c r="BI105" s="20"/>
    </row>
    <row r="106" spans="1:126" hidden="1" outlineLevel="2" x14ac:dyDescent="0.25">
      <c r="A106" s="12" t="s">
        <v>284</v>
      </c>
      <c r="E106" s="1021" t="s">
        <v>185</v>
      </c>
      <c r="F106" s="1021"/>
      <c r="H106" s="1021"/>
      <c r="I106" s="1021"/>
      <c r="J106" s="318"/>
      <c r="N106" s="1021" t="s">
        <v>186</v>
      </c>
      <c r="O106" s="1021"/>
      <c r="T106" s="1021" t="s">
        <v>186</v>
      </c>
      <c r="U106" s="1021"/>
      <c r="W106" s="1021"/>
      <c r="X106" s="1021"/>
      <c r="Y106" s="318"/>
      <c r="AC106" s="1021" t="s">
        <v>185</v>
      </c>
      <c r="AD106" s="1021"/>
      <c r="AE106" s="318"/>
      <c r="AI106" s="1021" t="s">
        <v>185</v>
      </c>
      <c r="AJ106" s="1021"/>
      <c r="AL106" s="1021"/>
      <c r="AM106" s="1021"/>
    </row>
    <row r="107" spans="1:126" hidden="1" outlineLevel="2" x14ac:dyDescent="0.25">
      <c r="A107" s="12" t="s">
        <v>270</v>
      </c>
      <c r="B107" s="20">
        <f>SUM(B99:B103)/1</f>
        <v>0.49600830470352691</v>
      </c>
      <c r="C107" s="20">
        <f>SUM(C99:C103)/1</f>
        <v>0.52118644067796605</v>
      </c>
      <c r="E107" s="20">
        <f t="shared" ref="E107:F107" si="661">SUM(E99:E103)/1</f>
        <v>0.62507203539493994</v>
      </c>
      <c r="F107" s="20">
        <f t="shared" si="661"/>
        <v>0.63211382113821135</v>
      </c>
      <c r="H107" s="20">
        <f t="shared" ref="H107:I107" si="662">SUM(H99:H103)/1</f>
        <v>0.59844236332972245</v>
      </c>
      <c r="I107" s="20">
        <f t="shared" si="662"/>
        <v>0.56613756613756605</v>
      </c>
      <c r="J107" s="20"/>
      <c r="K107" s="20">
        <f t="shared" ref="K107:L107" si="663">SUM(K99:K103)/1</f>
        <v>0.4906571378769391</v>
      </c>
      <c r="L107" s="20">
        <f t="shared" si="663"/>
        <v>0.48366013071895414</v>
      </c>
      <c r="M107" s="20"/>
      <c r="N107" s="20">
        <f t="shared" ref="N107:O107" si="664">SUM(N99:N103)/1</f>
        <v>0.42496962051148857</v>
      </c>
      <c r="O107" s="20">
        <f t="shared" si="664"/>
        <v>0.42091152815013416</v>
      </c>
      <c r="P107" s="20"/>
      <c r="Q107" s="20">
        <f t="shared" ref="Q107:R107" si="665">SUM(Q99:Q103)/1</f>
        <v>0.51388174309974655</v>
      </c>
      <c r="R107" s="20">
        <f t="shared" si="665"/>
        <v>0.47897623400365641</v>
      </c>
      <c r="S107" s="20"/>
      <c r="T107" s="20">
        <f t="shared" ref="T107:U107" si="666">SUM(T99:T103)/1</f>
        <v>0.51636923520195932</v>
      </c>
      <c r="U107" s="20">
        <f t="shared" si="666"/>
        <v>0.51464435146443532</v>
      </c>
      <c r="V107" s="20"/>
      <c r="W107" s="20">
        <f t="shared" ref="W107:X107" si="667">SUM(W99:W103)/1</f>
        <v>0.5150872729842414</v>
      </c>
      <c r="X107" s="20">
        <f t="shared" si="667"/>
        <v>0.50487804878048781</v>
      </c>
      <c r="Y107" s="20"/>
      <c r="Z107" s="20">
        <f t="shared" ref="Z107:AA107" si="668">SUM(Z99:Z103)/1</f>
        <v>0.46514020115818339</v>
      </c>
      <c r="AA107" s="20">
        <f t="shared" si="668"/>
        <v>0.45498199279711882</v>
      </c>
      <c r="AB107" s="20"/>
      <c r="AC107" s="20">
        <f t="shared" ref="AC107:AD107" si="669">SUM(AC99:AC103)/1</f>
        <v>0.60024490180379586</v>
      </c>
      <c r="AD107" s="20">
        <f t="shared" si="669"/>
        <v>0.63398692810457535</v>
      </c>
      <c r="AE107" s="20"/>
      <c r="AF107" s="20">
        <f t="shared" ref="AF107:AG107" si="670">SUM(AF99:AF103)/1</f>
        <v>0.47291383559435229</v>
      </c>
      <c r="AG107" s="20">
        <f t="shared" si="670"/>
        <v>0.48152866242038211</v>
      </c>
      <c r="AH107" s="20"/>
      <c r="AI107" s="20">
        <f t="shared" ref="AI107:AJ107" si="671">SUM(AI99:AI103)/1</f>
        <v>0.58051226938921718</v>
      </c>
      <c r="AJ107" s="20">
        <f t="shared" si="671"/>
        <v>0.58791208791208782</v>
      </c>
      <c r="AK107" s="20"/>
      <c r="AL107" s="20">
        <f t="shared" ref="AL107:AM107" si="672">SUM(AL99:AL103)/1</f>
        <v>0.46842122093952859</v>
      </c>
      <c r="AM107" s="20">
        <f t="shared" si="672"/>
        <v>0.51707317073170733</v>
      </c>
      <c r="AN107" s="20"/>
      <c r="AO107" s="20">
        <f t="shared" ref="AO107:AP107" si="673">SUM(AO99:AO103)/1</f>
        <v>0.5101904383333935</v>
      </c>
      <c r="AP107" s="20">
        <f t="shared" si="673"/>
        <v>0.51920693928128869</v>
      </c>
      <c r="AQ107" s="20"/>
      <c r="AR107" s="20">
        <f t="shared" ref="AR107:AS107" si="674">SUM(AR99:AR103)/1</f>
        <v>0.42365921350686481</v>
      </c>
      <c r="AS107" s="20">
        <f t="shared" si="674"/>
        <v>0.43650793650793646</v>
      </c>
      <c r="AT107" s="20"/>
      <c r="AU107" s="20">
        <f t="shared" ref="AU107:AV107" si="675">SUM(AU99:AU103)/1</f>
        <v>0.51156720063704675</v>
      </c>
      <c r="AV107" s="20">
        <f t="shared" si="675"/>
        <v>0.54794520547945214</v>
      </c>
      <c r="AW107" s="20"/>
      <c r="AX107" s="20">
        <f t="shared" ref="AX107:AY107" si="676">SUM(AX99:AX103)/1</f>
        <v>0.40086870563373689</v>
      </c>
      <c r="AY107" s="20">
        <f t="shared" si="676"/>
        <v>0.41489361702127664</v>
      </c>
      <c r="AZ107" s="20"/>
      <c r="BA107" s="20">
        <f t="shared" ref="BA107:BB107" si="677">SUM(BA99:BA103)/1</f>
        <v>0.50201236501790125</v>
      </c>
      <c r="BB107" s="20">
        <f t="shared" si="677"/>
        <v>0.50600801068090795</v>
      </c>
      <c r="BC107" s="20"/>
      <c r="BD107" s="20">
        <f t="shared" ref="BD107:BH107" si="678">SUM(BD99:BD103)/1</f>
        <v>0.45135180700057054</v>
      </c>
      <c r="BE107" s="20">
        <f t="shared" si="678"/>
        <v>0.45056320400500627</v>
      </c>
      <c r="BF107" s="20"/>
      <c r="BG107" s="20">
        <f t="shared" si="678"/>
        <v>0.51091768803641902</v>
      </c>
      <c r="BH107" s="20">
        <f t="shared" si="678"/>
        <v>0.51399692742850345</v>
      </c>
      <c r="BI107" s="20"/>
    </row>
    <row r="108" spans="1:126" hidden="1" outlineLevel="2" x14ac:dyDescent="0.25">
      <c r="A108" s="12" t="s">
        <v>187</v>
      </c>
      <c r="E108" s="1021"/>
      <c r="F108" s="1021"/>
      <c r="H108" s="1021" t="s">
        <v>185</v>
      </c>
      <c r="I108" s="1021"/>
      <c r="J108" s="318"/>
      <c r="N108" s="1021" t="s">
        <v>186</v>
      </c>
      <c r="O108" s="1021"/>
      <c r="T108" s="1021" t="s">
        <v>186</v>
      </c>
      <c r="U108" s="1021"/>
      <c r="W108" s="1021"/>
      <c r="X108" s="1021"/>
      <c r="Y108" s="318"/>
      <c r="AC108" s="1021"/>
      <c r="AD108" s="1021"/>
      <c r="AE108" s="318"/>
      <c r="AI108" s="1021"/>
      <c r="AJ108" s="1021"/>
      <c r="AL108" s="1021"/>
      <c r="AM108" s="1021"/>
    </row>
    <row r="109" spans="1:126" hidden="1" outlineLevel="2" x14ac:dyDescent="0.25">
      <c r="A109" s="12" t="s">
        <v>271</v>
      </c>
      <c r="B109" s="20">
        <f>SUM(B98:B103)/1</f>
        <v>0.5423762327294297</v>
      </c>
      <c r="C109" s="20">
        <f>SUM(C98:C103)/1</f>
        <v>0.56355932203389814</v>
      </c>
      <c r="E109" s="20">
        <f t="shared" ref="E109:F109" si="679">SUM(E98:E103)/1</f>
        <v>0.68071124495752233</v>
      </c>
      <c r="F109" s="20">
        <f t="shared" si="679"/>
        <v>0.67886178861788604</v>
      </c>
      <c r="H109" s="20">
        <f t="shared" ref="H109:I109" si="680">SUM(H98:H103)/1</f>
        <v>0.64002961703527994</v>
      </c>
      <c r="I109" s="20">
        <f t="shared" si="680"/>
        <v>0.61111111111111105</v>
      </c>
      <c r="J109" s="20"/>
      <c r="K109" s="20">
        <f t="shared" ref="K109:L109" si="681">SUM(K98:K103)/1</f>
        <v>0.53751089419557252</v>
      </c>
      <c r="L109" s="20">
        <f t="shared" si="681"/>
        <v>0.52287581699346397</v>
      </c>
      <c r="M109" s="20"/>
      <c r="N109" s="20">
        <f t="shared" ref="N109:O109" si="682">SUM(N98:N103)/1</f>
        <v>0.47126703338497067</v>
      </c>
      <c r="O109" s="20">
        <f t="shared" si="682"/>
        <v>0.47050938337801607</v>
      </c>
      <c r="P109" s="20"/>
      <c r="Q109" s="20">
        <f t="shared" ref="Q109:R109" si="683">SUM(Q98:Q103)/1</f>
        <v>0.54740527262528782</v>
      </c>
      <c r="R109" s="20">
        <f t="shared" si="683"/>
        <v>0.51371115173674597</v>
      </c>
      <c r="S109" s="20"/>
      <c r="T109" s="20">
        <f t="shared" ref="T109:U109" si="684">SUM(T98:T103)/1</f>
        <v>0.59676577047054802</v>
      </c>
      <c r="U109" s="20">
        <f t="shared" si="684"/>
        <v>0.59623430962343094</v>
      </c>
      <c r="V109" s="20"/>
      <c r="W109" s="20">
        <f t="shared" ref="W109:X109" si="685">SUM(W98:W103)/1</f>
        <v>0.56422867641862762</v>
      </c>
      <c r="X109" s="20">
        <f t="shared" si="685"/>
        <v>0.5609756097560975</v>
      </c>
      <c r="Y109" s="20"/>
      <c r="Z109" s="20">
        <f t="shared" ref="Z109:AA109" si="686">SUM(Z98:Z103)/1</f>
        <v>0.51887127908158082</v>
      </c>
      <c r="AA109" s="20">
        <f t="shared" si="686"/>
        <v>0.50780312124849936</v>
      </c>
      <c r="AB109" s="20"/>
      <c r="AC109" s="20">
        <f t="shared" ref="AC109:AD109" si="687">SUM(AC98:AC103)/1</f>
        <v>0.64639947251919172</v>
      </c>
      <c r="AD109" s="20">
        <f t="shared" si="687"/>
        <v>0.68627450980392168</v>
      </c>
      <c r="AE109" s="20"/>
      <c r="AF109" s="20">
        <f t="shared" ref="AF109:AG109" si="688">SUM(AF98:AF103)/1</f>
        <v>0.5147983508763847</v>
      </c>
      <c r="AG109" s="20">
        <f t="shared" si="688"/>
        <v>0.52101910828025466</v>
      </c>
      <c r="AH109" s="20"/>
      <c r="AI109" s="20">
        <f t="shared" ref="AI109:AJ109" si="689">SUM(AI98:AI103)/1</f>
        <v>0.60604897520534284</v>
      </c>
      <c r="AJ109" s="20">
        <f t="shared" si="689"/>
        <v>0.60805860805860801</v>
      </c>
      <c r="AK109" s="20"/>
      <c r="AL109" s="20">
        <f t="shared" ref="AL109:AM109" si="690">SUM(AL98:AL103)/1</f>
        <v>0.53327364011384348</v>
      </c>
      <c r="AM109" s="20">
        <f t="shared" si="690"/>
        <v>0.57073170731707323</v>
      </c>
      <c r="AN109" s="20"/>
      <c r="AO109" s="20">
        <f t="shared" ref="AO109:AP109" si="691">SUM(AO98:AO103)/1</f>
        <v>0.55948638263530037</v>
      </c>
      <c r="AP109" s="20">
        <f t="shared" si="691"/>
        <v>0.56381660470879802</v>
      </c>
      <c r="AQ109" s="20"/>
      <c r="AR109" s="20">
        <f t="shared" ref="AR109:AS109" si="692">SUM(AR98:AR103)/1</f>
        <v>0.47412177040530229</v>
      </c>
      <c r="AS109" s="20">
        <f t="shared" si="692"/>
        <v>0.49735449735449744</v>
      </c>
      <c r="AT109" s="20"/>
      <c r="AU109" s="20">
        <f t="shared" ref="AU109:AV109" si="693">SUM(AU98:AU103)/1</f>
        <v>0.57062608298490103</v>
      </c>
      <c r="AV109" s="20">
        <f t="shared" si="693"/>
        <v>0.60359589041095907</v>
      </c>
      <c r="AW109" s="20"/>
      <c r="AX109" s="20">
        <f t="shared" ref="AX109:AY109" si="694">SUM(AX98:AX103)/1</f>
        <v>0.49466436941765335</v>
      </c>
      <c r="AY109" s="20">
        <f t="shared" si="694"/>
        <v>0.50455927051671723</v>
      </c>
      <c r="AZ109" s="20"/>
      <c r="BA109" s="20">
        <f t="shared" ref="BA109:BB109" si="695">SUM(BA98:BA103)/1</f>
        <v>0.56657864781281797</v>
      </c>
      <c r="BB109" s="20">
        <f t="shared" si="695"/>
        <v>0.57943925233644866</v>
      </c>
      <c r="BC109" s="20"/>
      <c r="BD109" s="20">
        <f t="shared" ref="BD109:BE109" si="696">SUM(BD98:BD103)/1</f>
        <v>0.49199113854589277</v>
      </c>
      <c r="BE109" s="20">
        <f t="shared" si="696"/>
        <v>0.49311639549436792</v>
      </c>
      <c r="BF109" s="20"/>
      <c r="BG109" s="20">
        <f t="shared" ref="BG109:BH109" si="697">SUM(BG98:BG103)/1</f>
        <v>0.56356823261745803</v>
      </c>
      <c r="BH109" s="20">
        <f t="shared" si="697"/>
        <v>0.56679626548056872</v>
      </c>
      <c r="BI109" s="20"/>
    </row>
    <row r="110" spans="1:126" hidden="1" outlineLevel="2" x14ac:dyDescent="0.25">
      <c r="A110" s="12" t="s">
        <v>188</v>
      </c>
      <c r="E110" s="1021"/>
      <c r="F110" s="1021"/>
      <c r="H110" s="1021" t="s">
        <v>185</v>
      </c>
      <c r="I110" s="1021"/>
      <c r="N110" s="1021" t="s">
        <v>186</v>
      </c>
      <c r="O110" s="1021"/>
      <c r="Q110" s="1021"/>
      <c r="R110" s="1021"/>
      <c r="S110" s="318"/>
      <c r="T110" s="1021"/>
      <c r="U110" s="1021"/>
      <c r="V110" s="318"/>
    </row>
    <row r="111" spans="1:126" s="5" customFormat="1" hidden="1" outlineLevel="2" x14ac:dyDescent="0.25">
      <c r="A111" s="5" t="s">
        <v>45</v>
      </c>
      <c r="B111" s="387">
        <f>SUM(B105:B110)</f>
        <v>1.4260362342124124</v>
      </c>
      <c r="C111" s="387">
        <f>SUM(C105:C110)</f>
        <v>1.4957627118644066</v>
      </c>
      <c r="D111" s="387"/>
      <c r="E111" s="387">
        <f t="shared" ref="E111:F111" si="698">SUM(E105:E110)</f>
        <v>1.8196140761809159</v>
      </c>
      <c r="F111" s="387">
        <f t="shared" si="698"/>
        <v>1.8292682926829267</v>
      </c>
      <c r="G111" s="387"/>
      <c r="H111" s="387">
        <f t="shared" ref="H111:I111" si="699">SUM(H105:H110)</f>
        <v>1.6734036280868216</v>
      </c>
      <c r="I111" s="387">
        <f t="shared" si="699"/>
        <v>1.5582010582010581</v>
      </c>
      <c r="J111" s="387"/>
      <c r="K111" s="387">
        <f t="shared" ref="K111:L111" si="700">SUM(K105:K110)</f>
        <v>1.4332926616698622</v>
      </c>
      <c r="L111" s="387">
        <f t="shared" si="700"/>
        <v>1.3986928104575163</v>
      </c>
      <c r="M111" s="387"/>
      <c r="N111" s="387">
        <f t="shared" ref="N111:O111" si="701">SUM(N105:N110)</f>
        <v>1.2297895234826488</v>
      </c>
      <c r="O111" s="387">
        <f t="shared" si="701"/>
        <v>1.2198391420911527</v>
      </c>
      <c r="P111" s="387"/>
      <c r="Q111" s="387">
        <f t="shared" ref="Q111:R111" si="702">SUM(Q105:Q110)</f>
        <v>1.4855534709193248</v>
      </c>
      <c r="R111" s="387">
        <f t="shared" si="702"/>
        <v>1.4021937842778796</v>
      </c>
      <c r="S111" s="387"/>
      <c r="T111" s="387">
        <f t="shared" ref="T111:U111" si="703">SUM(T105:T110)</f>
        <v>1.5084367290342333</v>
      </c>
      <c r="U111" s="387">
        <f t="shared" si="703"/>
        <v>1.5167364016736404</v>
      </c>
      <c r="V111" s="387"/>
      <c r="W111" s="387">
        <f t="shared" ref="W111:X111" si="704">SUM(W105:W110)</f>
        <v>1.4753586318988057</v>
      </c>
      <c r="X111" s="387">
        <f t="shared" si="704"/>
        <v>1.4414634146341463</v>
      </c>
      <c r="Y111" s="387"/>
      <c r="Z111" s="387">
        <f t="shared" ref="Z111:AA111" si="705">SUM(Z105:Z110)</f>
        <v>1.3465343391242506</v>
      </c>
      <c r="AA111" s="387">
        <f t="shared" si="705"/>
        <v>1.3157262905162064</v>
      </c>
      <c r="AB111" s="387"/>
      <c r="AC111" s="387">
        <f t="shared" ref="AC111:AD111" si="706">SUM(AC105:AC110)</f>
        <v>1.763999434841991</v>
      </c>
      <c r="AD111" s="387">
        <f t="shared" si="706"/>
        <v>1.8627450980392162</v>
      </c>
      <c r="AE111" s="387"/>
      <c r="AF111" s="387">
        <f t="shared" ref="AF111:AG111" si="707">SUM(AF105:AF110)</f>
        <v>1.3849356242946307</v>
      </c>
      <c r="AG111" s="387">
        <f t="shared" si="707"/>
        <v>1.4038216560509553</v>
      </c>
      <c r="AH111" s="387"/>
      <c r="AI111" s="387">
        <f t="shared" ref="AI111:AJ111" si="708">SUM(AI105:AI110)</f>
        <v>1.6396202758373635</v>
      </c>
      <c r="AJ111" s="387">
        <f t="shared" si="708"/>
        <v>1.6813186813186811</v>
      </c>
      <c r="AK111" s="387"/>
      <c r="AL111" s="387">
        <f t="shared" ref="AL111:AM111" si="709">SUM(AL105:AL110)</f>
        <v>1.3416584055514691</v>
      </c>
      <c r="AM111" s="387">
        <f t="shared" si="709"/>
        <v>1.4682926829268292</v>
      </c>
      <c r="AN111" s="387"/>
      <c r="AO111" s="387">
        <f t="shared" ref="AO111:AP111" si="710">SUM(AO105:AO110)</f>
        <v>1.4926161481106734</v>
      </c>
      <c r="AP111" s="387">
        <f t="shared" si="710"/>
        <v>1.5229244114002478</v>
      </c>
      <c r="AQ111" s="387"/>
      <c r="AR111" s="387">
        <f t="shared" ref="AR111:AS111" si="711">SUM(AR105:AR110)</f>
        <v>1.2122541895002665</v>
      </c>
      <c r="AS111" s="387">
        <f t="shared" si="711"/>
        <v>1.2645502645502646</v>
      </c>
      <c r="AT111" s="387"/>
      <c r="AU111" s="387">
        <f t="shared" ref="AU111:AV111" si="712">SUM(AU105:AU110)</f>
        <v>1.4918734339581228</v>
      </c>
      <c r="AV111" s="387">
        <f t="shared" si="712"/>
        <v>1.6061643835616441</v>
      </c>
      <c r="AW111" s="387"/>
      <c r="AX111" s="387">
        <f t="shared" ref="AX111:AY111" si="713">SUM(AX105:AX110)</f>
        <v>1.1627103547355424</v>
      </c>
      <c r="AY111" s="387">
        <f t="shared" si="713"/>
        <v>1.2036474164133737</v>
      </c>
      <c r="AZ111" s="387"/>
      <c r="BA111" s="387">
        <f t="shared" ref="BA111:BB111" si="714">SUM(BA105:BA110)</f>
        <v>1.4602584133716967</v>
      </c>
      <c r="BB111" s="387">
        <f t="shared" si="714"/>
        <v>1.4699599465954609</v>
      </c>
      <c r="BC111" s="387"/>
      <c r="BD111" s="387">
        <f t="shared" ref="BD111:BE111" si="715">SUM(BD105:BD110)</f>
        <v>1.3078928317205234</v>
      </c>
      <c r="BE111" s="387">
        <f t="shared" si="715"/>
        <v>1.3053817271589487</v>
      </c>
      <c r="BF111" s="387"/>
      <c r="BG111" s="387">
        <f t="shared" ref="BG111:BH111" si="716">SUM(BG105:BG110)</f>
        <v>1.4763344715603082</v>
      </c>
      <c r="BH111" s="387">
        <f t="shared" si="716"/>
        <v>1.4868246317673639</v>
      </c>
      <c r="BI111" s="387"/>
      <c r="BP111" s="388"/>
      <c r="BQ111" s="388"/>
      <c r="BR111" s="388"/>
      <c r="BS111" s="388"/>
      <c r="BT111" s="388"/>
      <c r="BU111" s="388"/>
      <c r="BV111" s="388"/>
      <c r="BW111" s="388"/>
      <c r="BX111" s="388"/>
      <c r="BY111" s="388"/>
      <c r="BZ111" s="388"/>
      <c r="CA111" s="388"/>
      <c r="CB111" s="388"/>
      <c r="CC111" s="388"/>
      <c r="CD111" s="388"/>
      <c r="CE111" s="388"/>
      <c r="CN111" s="7"/>
      <c r="CP111" s="11"/>
      <c r="CQ111" s="13"/>
      <c r="CR111" s="7"/>
      <c r="CT111" s="7"/>
      <c r="CV111" s="7"/>
      <c r="CX111" s="7"/>
      <c r="CZ111" s="7"/>
      <c r="DB111" s="7"/>
      <c r="DD111" s="7"/>
      <c r="DF111" s="7"/>
      <c r="DH111" s="7"/>
      <c r="DJ111" s="7"/>
      <c r="DL111" s="7"/>
      <c r="DN111" s="7"/>
      <c r="DP111" s="7"/>
      <c r="DR111" s="7"/>
      <c r="DT111" s="7"/>
      <c r="DV111" s="7"/>
    </row>
    <row r="112" spans="1:126" hidden="1" outlineLevel="1" x14ac:dyDescent="0.25">
      <c r="N112" s="1021" t="s">
        <v>186</v>
      </c>
      <c r="O112" s="1021"/>
      <c r="AC112" s="1021" t="s">
        <v>185</v>
      </c>
      <c r="AD112" s="1021"/>
    </row>
    <row r="113" spans="1:163" hidden="1" outlineLevel="1" x14ac:dyDescent="0.25">
      <c r="A113" s="332" t="s">
        <v>345</v>
      </c>
      <c r="AL113" s="1005" t="s">
        <v>315</v>
      </c>
      <c r="AM113" s="1005"/>
      <c r="AN113" s="1005"/>
      <c r="AO113" s="991"/>
      <c r="AP113" s="991"/>
      <c r="AQ113" s="353"/>
      <c r="AR113" s="991"/>
      <c r="AS113" s="991"/>
      <c r="AT113" s="353"/>
      <c r="AU113" s="991"/>
      <c r="AV113" s="991"/>
      <c r="AW113" s="353"/>
      <c r="AX113" s="1004" t="s">
        <v>201</v>
      </c>
      <c r="AY113" s="1004"/>
      <c r="BD113" s="1004" t="s">
        <v>201</v>
      </c>
      <c r="BE113" s="1004"/>
      <c r="BF113" s="353"/>
    </row>
    <row r="114" spans="1:163" hidden="1" outlineLevel="1" x14ac:dyDescent="0.25">
      <c r="A114" s="234" t="s">
        <v>24</v>
      </c>
      <c r="B114" s="273" t="str">
        <f>Tabelle3[[#Headers],[Ned (€)]]</f>
        <v>Ned (€)</v>
      </c>
      <c r="C114" s="274" t="str">
        <f>C$8</f>
        <v>Ned (Backer)</v>
      </c>
      <c r="D114" s="337" t="str">
        <f t="shared" ref="D114:BF114" si="717">D$8</f>
        <v>Ned (€/B)</v>
      </c>
      <c r="E114" s="276" t="str">
        <f t="shared" si="717"/>
        <v>Werkzeuge (€)</v>
      </c>
      <c r="F114" s="277" t="str">
        <f t="shared" si="717"/>
        <v>Werkzeuge (Backer)</v>
      </c>
      <c r="G114" s="373" t="str">
        <f t="shared" si="717"/>
        <v>Werkz (€/B)</v>
      </c>
      <c r="H114" s="280" t="str">
        <f t="shared" si="717"/>
        <v>DSK Fasar (€)</v>
      </c>
      <c r="I114" s="281" t="str">
        <f t="shared" si="717"/>
        <v>DSK Fasar (Backer)</v>
      </c>
      <c r="J114" s="282" t="str">
        <f t="shared" si="717"/>
        <v>DSK Fasar (€/B)</v>
      </c>
      <c r="K114" s="273" t="str">
        <f t="shared" si="717"/>
        <v>Mythen (€)</v>
      </c>
      <c r="L114" s="274" t="str">
        <f t="shared" si="717"/>
        <v>Mythen (Backer)</v>
      </c>
      <c r="M114" s="274" t="str">
        <f t="shared" si="717"/>
        <v>Mythen (€/B)</v>
      </c>
      <c r="N114" s="278" t="str">
        <f t="shared" si="717"/>
        <v>SOK (€)</v>
      </c>
      <c r="O114" s="279" t="str">
        <f t="shared" si="717"/>
        <v>SOK (Backer)</v>
      </c>
      <c r="P114" s="279" t="str">
        <f t="shared" si="717"/>
        <v>SOK (€/B)</v>
      </c>
      <c r="Q114" s="275" t="str">
        <f t="shared" si="717"/>
        <v>RE (€)</v>
      </c>
      <c r="R114" s="275" t="str">
        <f t="shared" si="717"/>
        <v>RE (Backer)</v>
      </c>
      <c r="S114" s="275" t="str">
        <f t="shared" si="717"/>
        <v>RE (€/B)</v>
      </c>
      <c r="T114" s="275" t="str">
        <f t="shared" si="717"/>
        <v>DGG (€)</v>
      </c>
      <c r="U114" s="275" t="str">
        <f t="shared" si="717"/>
        <v>DGG (Backer)</v>
      </c>
      <c r="V114" s="275" t="str">
        <f t="shared" si="717"/>
        <v>DGG (€/B)</v>
      </c>
      <c r="W114" s="280" t="str">
        <f t="shared" si="717"/>
        <v>DSK SV (€)</v>
      </c>
      <c r="X114" s="281" t="str">
        <f t="shared" si="717"/>
        <v>DSK SV (Backer)</v>
      </c>
      <c r="Y114" s="282" t="str">
        <f t="shared" si="717"/>
        <v>DSK SV (€/B)</v>
      </c>
      <c r="Z114" s="278" t="str">
        <f t="shared" si="717"/>
        <v>WW (€)</v>
      </c>
      <c r="AA114" s="279" t="str">
        <f t="shared" si="717"/>
        <v>WW (Backer)</v>
      </c>
      <c r="AB114" s="279" t="str">
        <f t="shared" si="717"/>
        <v>WW (€/B)</v>
      </c>
      <c r="AC114" s="280" t="str">
        <f t="shared" si="717"/>
        <v>DSK R (€)</v>
      </c>
      <c r="AD114" s="281" t="str">
        <f t="shared" si="717"/>
        <v>DSK R (Backer)</v>
      </c>
      <c r="AE114" s="282" t="str">
        <f t="shared" si="717"/>
        <v>DSK R (€/B)</v>
      </c>
      <c r="AF114" s="275" t="str">
        <f t="shared" si="717"/>
        <v>Ära (€)</v>
      </c>
      <c r="AG114" s="275" t="str">
        <f t="shared" si="717"/>
        <v>Ära (Backer)</v>
      </c>
      <c r="AH114" s="275" t="str">
        <f t="shared" si="717"/>
        <v>Ära (€/B)</v>
      </c>
      <c r="AI114" s="275" t="str">
        <f t="shared" si="717"/>
        <v>Mosaik (€)</v>
      </c>
      <c r="AJ114" s="275" t="str">
        <f t="shared" si="717"/>
        <v>Mosaik (Backer)</v>
      </c>
      <c r="AK114" s="275" t="str">
        <f t="shared" si="717"/>
        <v>Mosaik (€/B)</v>
      </c>
      <c r="AL114" s="280" t="str">
        <f t="shared" si="717"/>
        <v>DSK ES (€)</v>
      </c>
      <c r="AM114" s="281" t="str">
        <f t="shared" si="717"/>
        <v>DSK ES (Backer)</v>
      </c>
      <c r="AN114" s="282" t="str">
        <f t="shared" si="717"/>
        <v>DSK ES (€/B)</v>
      </c>
      <c r="AO114" s="278" t="str">
        <f t="shared" si="717"/>
        <v>ES (€)</v>
      </c>
      <c r="AP114" s="279" t="str">
        <f t="shared" si="717"/>
        <v>ES (Backer)</v>
      </c>
      <c r="AQ114" s="389" t="str">
        <f t="shared" si="717"/>
        <v>ES (€/B)</v>
      </c>
      <c r="AR114" s="278" t="str">
        <f t="shared" si="717"/>
        <v>WF (€)</v>
      </c>
      <c r="AS114" s="279" t="str">
        <f t="shared" si="717"/>
        <v>WF(Backer)</v>
      </c>
      <c r="AT114" s="389" t="str">
        <f t="shared" si="717"/>
        <v>WF (€/B)</v>
      </c>
      <c r="AU114" s="653" t="str">
        <f t="shared" si="717"/>
        <v>AKM (€)</v>
      </c>
      <c r="AV114" s="274" t="str">
        <f t="shared" si="717"/>
        <v>AKM(Backer)</v>
      </c>
      <c r="AW114" s="274" t="str">
        <f t="shared" si="717"/>
        <v>AKM (€/B)</v>
      </c>
      <c r="AX114" s="275" t="str">
        <f t="shared" si="717"/>
        <v>Lex (€)</v>
      </c>
      <c r="AY114" s="275" t="str">
        <f t="shared" si="717"/>
        <v>Lex(Backer)</v>
      </c>
      <c r="AZ114" s="654" t="str">
        <f t="shared" si="717"/>
        <v>Lex(€/B)</v>
      </c>
      <c r="BA114" s="275" t="str">
        <f t="shared" si="717"/>
        <v>KA (€)</v>
      </c>
      <c r="BB114" s="275" t="str">
        <f t="shared" si="717"/>
        <v>KA (Backer)</v>
      </c>
      <c r="BC114" s="654" t="str">
        <f t="shared" si="717"/>
        <v>KA (€/B)</v>
      </c>
      <c r="BD114" s="805" t="str">
        <f t="shared" si="717"/>
        <v>MAR (€)</v>
      </c>
      <c r="BE114" s="805" t="str">
        <f t="shared" si="717"/>
        <v>MAR (Backer)</v>
      </c>
      <c r="BF114" s="806" t="str">
        <f t="shared" si="717"/>
        <v>MAR (€/B)</v>
      </c>
      <c r="BG114" s="1009" t="s">
        <v>202</v>
      </c>
      <c r="BH114" s="1009"/>
      <c r="BI114" s="1009"/>
      <c r="BJ114" s="1009"/>
      <c r="BK114" s="1009"/>
      <c r="BL114" s="1009"/>
      <c r="BM114" s="1009"/>
      <c r="BN114" s="1009"/>
      <c r="BO114" s="1009"/>
      <c r="CE114" s="167"/>
      <c r="CF114" s="166"/>
      <c r="CG114" s="166"/>
      <c r="CH114" s="166"/>
      <c r="CI114" s="166"/>
      <c r="CJ114" s="166"/>
      <c r="CK114" s="166"/>
      <c r="CL114" s="166"/>
      <c r="CM114" s="166"/>
      <c r="CN114" s="166"/>
      <c r="CO114" s="166"/>
      <c r="CP114" s="166"/>
      <c r="CQ114" s="166"/>
      <c r="CR114" s="166"/>
      <c r="CS114" s="166"/>
      <c r="CT114" s="166"/>
      <c r="CU114" s="166"/>
      <c r="CV114" s="166"/>
      <c r="CW114" s="166"/>
      <c r="CX114" s="166"/>
      <c r="CY114" s="166"/>
      <c r="CZ114" s="166"/>
      <c r="DA114" s="166"/>
      <c r="DB114" s="166"/>
      <c r="DC114" s="166"/>
      <c r="DD114" s="166"/>
      <c r="DE114" s="166"/>
      <c r="DF114" s="166"/>
      <c r="DG114" s="166"/>
      <c r="DH114" s="166"/>
      <c r="DI114" s="166"/>
      <c r="DJ114" s="166"/>
      <c r="DK114" s="166"/>
      <c r="DL114" s="166"/>
      <c r="DM114" s="166"/>
      <c r="DN114" s="166"/>
      <c r="DO114" s="166"/>
      <c r="DP114" s="166"/>
      <c r="DQ114" s="166"/>
      <c r="DR114" s="166"/>
      <c r="DS114" s="166"/>
      <c r="DT114" s="166"/>
      <c r="DU114" s="166"/>
      <c r="DV114" s="166"/>
      <c r="DW114" s="166"/>
      <c r="DX114" s="166"/>
      <c r="DY114" s="166"/>
      <c r="DZ114" s="166"/>
      <c r="EA114" s="166"/>
      <c r="EB114" s="166"/>
      <c r="EC114" s="166"/>
      <c r="ED114" s="166"/>
      <c r="EE114" s="166"/>
      <c r="EF114" s="166"/>
      <c r="EG114" s="166"/>
      <c r="EH114" s="166"/>
      <c r="EI114" s="166"/>
      <c r="EJ114" s="166"/>
      <c r="EK114" s="166"/>
      <c r="EL114" s="166"/>
      <c r="FB114" s="166"/>
      <c r="FC114" s="166"/>
      <c r="FD114" s="166"/>
      <c r="FE114" s="166"/>
      <c r="FF114" s="166"/>
      <c r="FG114" s="166"/>
    </row>
    <row r="115" spans="1:163" hidden="1" outlineLevel="1" x14ac:dyDescent="0.25">
      <c r="A115" s="333">
        <v>1</v>
      </c>
      <c r="B115" s="326">
        <f t="shared" ref="B115:B135" si="718">ROUND(B$5*B35,2)</f>
        <v>81640.53</v>
      </c>
      <c r="C115" s="329">
        <f t="shared" ref="C115:C135" si="719">ROUND(C$5*C35,)</f>
        <v>391</v>
      </c>
      <c r="D115" s="346">
        <f t="shared" ref="D115:D135" si="720">B115/C115</f>
        <v>208.7993094629156</v>
      </c>
      <c r="E115" s="326">
        <f t="shared" ref="E115:E135" si="721">ROUND(E$5*E35,2)</f>
        <v>100604.96</v>
      </c>
      <c r="F115" s="329">
        <f t="shared" ref="F115:F135" si="722">ROUND(F$5*F35,)</f>
        <v>499</v>
      </c>
      <c r="G115" s="346">
        <f t="shared" ref="G115:G135" si="723">E115/F115</f>
        <v>201.61314629258518</v>
      </c>
      <c r="H115" s="326">
        <f t="shared" ref="H115:H135" si="724">ROUND(H$5*H35,2)</f>
        <v>100932.94</v>
      </c>
      <c r="I115" s="329">
        <f t="shared" ref="I115:I135" si="725">ROUND(I$5*I35,)</f>
        <v>537</v>
      </c>
      <c r="J115" s="346">
        <f t="shared" ref="J115:J135" si="726">H115/I115</f>
        <v>187.9570577281192</v>
      </c>
      <c r="K115" s="326">
        <f t="shared" ref="K115:K135" si="727">ROUND(K$5*K35,2)</f>
        <v>74940.62</v>
      </c>
      <c r="L115" s="329">
        <f t="shared" ref="L115:L135" si="728">ROUND(L$5*L35,)</f>
        <v>420</v>
      </c>
      <c r="M115" s="346">
        <f t="shared" ref="M115:M135" si="729">K115/L115</f>
        <v>178.4300476190476</v>
      </c>
      <c r="N115" s="326">
        <f t="shared" ref="N115:N135" si="730">ROUND(N$5*N35,2)</f>
        <v>122618.51</v>
      </c>
      <c r="O115" s="329">
        <f t="shared" ref="O115:O135" si="731">ROUND(O$5*O35,)</f>
        <v>650</v>
      </c>
      <c r="P115" s="346">
        <f t="shared" ref="P115:P135" si="732">N115/O115</f>
        <v>188.64386153846152</v>
      </c>
      <c r="Q115" s="326">
        <f t="shared" ref="Q115:Q135" si="733">ROUND(Q$5*Q35,2)</f>
        <v>75695.73</v>
      </c>
      <c r="R115" s="329">
        <f t="shared" ref="R115:R135" si="734">ROUND(R$5*R35,)</f>
        <v>386</v>
      </c>
      <c r="S115" s="346">
        <f t="shared" ref="S115:S135" si="735">Q115/R115</f>
        <v>196.1029274611399</v>
      </c>
      <c r="T115" s="326">
        <f t="shared" ref="T115:T135" si="736">ROUND(T$5*T35,2)</f>
        <v>112061.06</v>
      </c>
      <c r="U115" s="329">
        <f t="shared" ref="U115:U135" si="737">ROUND(U$5*U35,)</f>
        <v>590</v>
      </c>
      <c r="V115" s="346">
        <f t="shared" ref="V115:V135" si="738">T115/U115</f>
        <v>189.934</v>
      </c>
      <c r="W115" s="326">
        <f t="shared" ref="W115:W135" si="739">ROUND(W$5*W35,2)</f>
        <v>80909.19</v>
      </c>
      <c r="X115" s="329">
        <f t="shared" ref="X115:X135" si="740">ROUND(X$5*X35,)</f>
        <v>392</v>
      </c>
      <c r="Y115" s="346">
        <f t="shared" ref="Y115:Y135" si="741">W115/X115</f>
        <v>206.40099489795918</v>
      </c>
      <c r="Z115" s="326">
        <f t="shared" ref="Z115:Z135" si="742">ROUND(Z$5*Z35,2)</f>
        <v>99216</v>
      </c>
      <c r="AA115" s="329">
        <f t="shared" ref="AA115:AA135" si="743">ROUND(AA$5*AA35,)</f>
        <v>513</v>
      </c>
      <c r="AB115" s="346">
        <f t="shared" ref="AB115:AB135" si="744">Z115/AA115</f>
        <v>193.40350877192984</v>
      </c>
      <c r="AC115" s="326">
        <f t="shared" ref="AC115:AC135" si="745">ROUND(AC$5*AC35,2)</f>
        <v>83698.94</v>
      </c>
      <c r="AD115" s="329">
        <f t="shared" ref="AD115:AD135" si="746">ROUND(AD$5*AD35,)</f>
        <v>474</v>
      </c>
      <c r="AE115" s="346">
        <f t="shared" ref="AE115:AE135" si="747">AC115/AD115</f>
        <v>176.58004219409284</v>
      </c>
      <c r="AF115" s="326">
        <f t="shared" ref="AF115:AF135" si="748">ROUND(AF$5*AF35,2)</f>
        <v>55782.28</v>
      </c>
      <c r="AG115" s="329">
        <f t="shared" ref="AG115:AG135" si="749">ROUND(AG$5*AG35,)</f>
        <v>294</v>
      </c>
      <c r="AH115" s="346">
        <f t="shared" ref="AH115:AH135" si="750">AF115/AG115</f>
        <v>189.73564625850341</v>
      </c>
      <c r="AI115" s="326">
        <f t="shared" ref="AI115:AI135" si="751">ROUND(AI$5*AI35,2)</f>
        <v>102270.93</v>
      </c>
      <c r="AJ115" s="329">
        <f t="shared" ref="AJ115:AJ135" si="752">ROUND(AJ$5*AJ35,)</f>
        <v>530</v>
      </c>
      <c r="AK115" s="346">
        <f t="shared" ref="AK115:AK135" si="753">AI115/AJ115</f>
        <v>192.96401886792452</v>
      </c>
      <c r="AL115" s="379"/>
      <c r="AM115" s="380"/>
      <c r="AN115" s="394"/>
      <c r="AO115" s="326">
        <f t="shared" ref="AO115:AO135" si="754">ROUND(AO$5*AO35,2)</f>
        <v>97595.46</v>
      </c>
      <c r="AP115" s="329">
        <f t="shared" ref="AP115:AP135" si="755">ROUND(AP$5*AP35,)</f>
        <v>489</v>
      </c>
      <c r="AQ115" s="346">
        <f t="shared" ref="AQ115:AQ135" si="756">AO115/AP115</f>
        <v>199.58171779141105</v>
      </c>
      <c r="AR115" s="326">
        <f t="shared" ref="AR115:AR135" si="757">ROUND(AR$5*AR35,2)</f>
        <v>112664.46</v>
      </c>
      <c r="AS115" s="329">
        <f t="shared" ref="AS115:AS135" si="758">ROUND(AS$5*AS35,)</f>
        <v>577</v>
      </c>
      <c r="AT115" s="346">
        <f t="shared" ref="AT115:AT135" si="759">AR115/AS115</f>
        <v>195.25902946273831</v>
      </c>
      <c r="AU115" s="326">
        <f t="shared" ref="AU115:AU135" si="760">ROUND(AU$5*AU35,2)</f>
        <v>109172.69</v>
      </c>
      <c r="AV115" s="329">
        <f t="shared" ref="AV115:AV135" si="761">ROUND(AV$5*AV35,)</f>
        <v>621</v>
      </c>
      <c r="AW115" s="346">
        <f t="shared" ref="AW115:AW135" si="762">AU115/AV115</f>
        <v>175.80143317230275</v>
      </c>
      <c r="AX115" s="379"/>
      <c r="AY115" s="380"/>
      <c r="AZ115" s="346" t="e">
        <f t="shared" ref="AZ115:AZ135" si="763">AX115/AY115</f>
        <v>#DIV/0!</v>
      </c>
      <c r="BA115" s="326">
        <f t="shared" ref="BA115:BA135" si="764">ROUND(BA$5*BA35,2)</f>
        <v>120326.43</v>
      </c>
      <c r="BB115" s="329">
        <f t="shared" ref="BB115:BB135" si="765">ROUND(BB$5*BB35,)</f>
        <v>604</v>
      </c>
      <c r="BC115" s="346">
        <f t="shared" ref="BC115" si="766">BA115/BB115</f>
        <v>199.21594370860927</v>
      </c>
      <c r="BD115" s="326">
        <f t="shared" ref="BD115:BE135" si="767">BD10</f>
        <v>136568</v>
      </c>
      <c r="BE115" s="329">
        <f t="shared" si="767"/>
        <v>723</v>
      </c>
      <c r="BF115" s="346">
        <f t="shared" ref="BF115:BF135" si="768">BD115/BE115</f>
        <v>188.89073305670817</v>
      </c>
      <c r="BG115" s="710">
        <f>AVERAGE(B115,E115,H115,K115,N115,Q115,T115,W115,Z115,AC115,AI115,AO115,AR115,AU115,BA115)</f>
        <v>98289.896666666653</v>
      </c>
      <c r="BH115" s="711">
        <f t="shared" ref="BH115" si="769">AVERAGE(C115,F115,I115,L115,O115,R115,U115,X115,AA115,AD115,AJ115,AP115,AS115,AV115,BB115)</f>
        <v>511.53333333333336</v>
      </c>
      <c r="BI115" s="712">
        <f t="shared" ref="BI115:BI116" si="770">BG115/BH115</f>
        <v>192.14758894826011</v>
      </c>
      <c r="BJ115" s="710">
        <f>MIN(B115,E115,H115,K115,N115,Q115,T115,W115,Z115,AC115,AI115,AO115,AR115,AU115,BA115)</f>
        <v>74940.62</v>
      </c>
      <c r="BK115" s="711">
        <f t="shared" ref="BK115:BL115" si="771">MIN(C115,F115,I115,L115,O115,R115,U115,X115,AA115,AD115,AJ115,AP115,AS115,AV115,BB115)</f>
        <v>386</v>
      </c>
      <c r="BL115" s="712">
        <f t="shared" si="771"/>
        <v>175.80143317230275</v>
      </c>
      <c r="BM115" s="710">
        <f>MAX(B115,E115,H115,K115,N115,Q115,T115,W115,Z115,AC115,AI115,AO115,AR115,AU115,BA115)</f>
        <v>122618.51</v>
      </c>
      <c r="BN115" s="711">
        <f t="shared" ref="BN115:BO115" si="772">MAX(C115,F115,I115,L115,O115,R115,U115,X115,AA115,AD115,AJ115,AP115,AS115,AV115,BB115)</f>
        <v>650</v>
      </c>
      <c r="BO115" s="712">
        <f t="shared" si="772"/>
        <v>208.7993094629156</v>
      </c>
    </row>
    <row r="116" spans="1:163" hidden="1" outlineLevel="1" x14ac:dyDescent="0.25">
      <c r="A116" s="333">
        <v>2</v>
      </c>
      <c r="B116" s="327">
        <f t="shared" si="718"/>
        <v>92656</v>
      </c>
      <c r="C116" s="330">
        <f t="shared" si="719"/>
        <v>439</v>
      </c>
      <c r="D116" s="347">
        <f t="shared" si="720"/>
        <v>211.06150341685648</v>
      </c>
      <c r="E116" s="327">
        <f t="shared" si="721"/>
        <v>114698.51</v>
      </c>
      <c r="F116" s="330">
        <f t="shared" si="722"/>
        <v>575</v>
      </c>
      <c r="G116" s="347">
        <f t="shared" si="723"/>
        <v>199.47566956521737</v>
      </c>
      <c r="H116" s="327">
        <f t="shared" si="724"/>
        <v>118281.92</v>
      </c>
      <c r="I116" s="330">
        <f t="shared" si="725"/>
        <v>641</v>
      </c>
      <c r="J116" s="347">
        <f t="shared" si="726"/>
        <v>184.52717628705147</v>
      </c>
      <c r="K116" s="327">
        <f t="shared" si="727"/>
        <v>93740.73</v>
      </c>
      <c r="L116" s="330">
        <f t="shared" si="728"/>
        <v>530</v>
      </c>
      <c r="M116" s="347">
        <f t="shared" si="729"/>
        <v>176.86930188679244</v>
      </c>
      <c r="N116" s="327">
        <f t="shared" si="730"/>
        <v>155779.54999999999</v>
      </c>
      <c r="O116" s="330">
        <f t="shared" si="731"/>
        <v>821</v>
      </c>
      <c r="P116" s="347">
        <f t="shared" si="732"/>
        <v>189.74366626065773</v>
      </c>
      <c r="Q116" s="327">
        <f t="shared" si="733"/>
        <v>87886.82</v>
      </c>
      <c r="R116" s="330">
        <f t="shared" si="734"/>
        <v>457</v>
      </c>
      <c r="S116" s="347">
        <f t="shared" si="735"/>
        <v>192.31251641137857</v>
      </c>
      <c r="T116" s="327">
        <f t="shared" si="736"/>
        <v>146838.88</v>
      </c>
      <c r="U116" s="330">
        <f t="shared" si="737"/>
        <v>776</v>
      </c>
      <c r="V116" s="347">
        <f t="shared" si="738"/>
        <v>189.22536082474227</v>
      </c>
      <c r="W116" s="327">
        <f t="shared" si="739"/>
        <v>98138.53</v>
      </c>
      <c r="X116" s="330">
        <f t="shared" si="740"/>
        <v>495</v>
      </c>
      <c r="Y116" s="347">
        <f t="shared" si="741"/>
        <v>198.25965656565657</v>
      </c>
      <c r="Z116" s="327">
        <f t="shared" si="742"/>
        <v>123932.46</v>
      </c>
      <c r="AA116" s="330">
        <f t="shared" si="743"/>
        <v>648</v>
      </c>
      <c r="AB116" s="347">
        <f t="shared" si="744"/>
        <v>191.25379629629631</v>
      </c>
      <c r="AC116" s="327">
        <f t="shared" si="745"/>
        <v>114506.4</v>
      </c>
      <c r="AD116" s="330">
        <f t="shared" si="746"/>
        <v>630</v>
      </c>
      <c r="AE116" s="347">
        <f t="shared" si="747"/>
        <v>181.75619047619045</v>
      </c>
      <c r="AF116" s="327">
        <f t="shared" si="748"/>
        <v>78360.88</v>
      </c>
      <c r="AG116" s="330">
        <f t="shared" si="749"/>
        <v>418</v>
      </c>
      <c r="AH116" s="347">
        <f t="shared" si="750"/>
        <v>187.46622009569379</v>
      </c>
      <c r="AI116" s="327">
        <f t="shared" si="751"/>
        <v>140689.5</v>
      </c>
      <c r="AJ116" s="330">
        <f t="shared" si="752"/>
        <v>737</v>
      </c>
      <c r="AK116" s="347">
        <f t="shared" si="753"/>
        <v>190.89484396200814</v>
      </c>
      <c r="AL116" s="379"/>
      <c r="AM116" s="380"/>
      <c r="AN116" s="394"/>
      <c r="AO116" s="326">
        <f t="shared" si="754"/>
        <v>125346.84</v>
      </c>
      <c r="AP116" s="329">
        <f t="shared" si="755"/>
        <v>637</v>
      </c>
      <c r="AQ116" s="346">
        <f t="shared" si="756"/>
        <v>196.77682888540031</v>
      </c>
      <c r="AR116" s="326">
        <f t="shared" si="757"/>
        <v>136869.07999999999</v>
      </c>
      <c r="AS116" s="329">
        <f t="shared" si="758"/>
        <v>707</v>
      </c>
      <c r="AT116" s="346">
        <f t="shared" si="759"/>
        <v>193.59134370579915</v>
      </c>
      <c r="AU116" s="326">
        <f t="shared" si="760"/>
        <v>125957.88</v>
      </c>
      <c r="AV116" s="329">
        <f t="shared" si="761"/>
        <v>710</v>
      </c>
      <c r="AW116" s="346">
        <f t="shared" si="762"/>
        <v>177.40546478873239</v>
      </c>
      <c r="AX116" s="326">
        <f t="shared" ref="AX116:AX135" si="773">ROUND(AX$5*AX36,2)</f>
        <v>97726.48</v>
      </c>
      <c r="AY116" s="329">
        <f t="shared" ref="AY116:AY135" si="774">ROUND(AY$5*AY36,)</f>
        <v>508</v>
      </c>
      <c r="AZ116" s="346">
        <f t="shared" si="763"/>
        <v>192.37496062992125</v>
      </c>
      <c r="BA116" s="326">
        <f t="shared" si="764"/>
        <v>144639.03</v>
      </c>
      <c r="BB116" s="329">
        <f t="shared" si="765"/>
        <v>750</v>
      </c>
      <c r="BC116" s="346">
        <f t="shared" ref="BC116:BC135" si="775">BA116/BB116</f>
        <v>192.85203999999999</v>
      </c>
      <c r="BD116" s="326">
        <f t="shared" si="767"/>
        <v>155624</v>
      </c>
      <c r="BE116" s="329">
        <f t="shared" si="767"/>
        <v>827</v>
      </c>
      <c r="BF116" s="346">
        <f t="shared" ref="BF116:BF120" si="776">BD116/BE116</f>
        <v>188.17896009673518</v>
      </c>
      <c r="BG116" s="327">
        <f t="shared" ref="BG116" si="777">AVERAGE(B116,E116,H116,K116,N116,Q116,T116,W116,Z116,AC116,AI116,AO116,AR116,AU116,AX116,BA116)</f>
        <v>119855.53812500001</v>
      </c>
      <c r="BH116" s="330">
        <f t="shared" ref="BH116" si="778">AVERAGE(C116,F116,I116,L116,O116,R116,U116,X116,AA116,AD116,AJ116,AP116,AS116,AV116,AY116,BB116)</f>
        <v>628.8125</v>
      </c>
      <c r="BI116" s="347">
        <f t="shared" si="770"/>
        <v>190.60616340324023</v>
      </c>
      <c r="BJ116" s="327">
        <f>MIN(B116,E116,H116,K116,N116,Q116,T116,W116,Z116,AC116,AI116,AO116,AR116,AU116,AX116,BA116)</f>
        <v>87886.82</v>
      </c>
      <c r="BK116" s="330">
        <f t="shared" ref="BK116:BL116" si="779">MIN(C116,F116,I116,L116,O116,R116,U116,X116,AA116,AD116,AJ116,AP116,AS116,AV116,AY116,BB116)</f>
        <v>439</v>
      </c>
      <c r="BL116" s="347">
        <f t="shared" si="779"/>
        <v>176.86930188679244</v>
      </c>
      <c r="BM116" s="327">
        <f>MAX(B116,E116,H116,K116,N116,Q116,T116,W116,Z116,AC116,AI116,AO116,AR116,AU116,AX116,BA116)</f>
        <v>155779.54999999999</v>
      </c>
      <c r="BN116" s="330">
        <f t="shared" ref="BN116:BO116" si="780">MAX(C116,F116,I116,L116,O116,R116,U116,X116,AA116,AD116,AJ116,AP116,AS116,AV116,AY116,BB116)</f>
        <v>821</v>
      </c>
      <c r="BO116" s="347">
        <f t="shared" si="780"/>
        <v>211.06150341685648</v>
      </c>
    </row>
    <row r="117" spans="1:163" hidden="1" outlineLevel="1" x14ac:dyDescent="0.25">
      <c r="A117" s="333">
        <v>3</v>
      </c>
      <c r="B117" s="326">
        <f t="shared" si="718"/>
        <v>97685.65</v>
      </c>
      <c r="C117" s="329">
        <f t="shared" si="719"/>
        <v>482</v>
      </c>
      <c r="D117" s="346">
        <f t="shared" si="720"/>
        <v>202.66732365145228</v>
      </c>
      <c r="E117" s="326">
        <f t="shared" si="721"/>
        <v>124840.76</v>
      </c>
      <c r="F117" s="329">
        <f t="shared" si="722"/>
        <v>625</v>
      </c>
      <c r="G117" s="346">
        <f t="shared" si="723"/>
        <v>199.745216</v>
      </c>
      <c r="H117" s="326">
        <f t="shared" si="724"/>
        <v>125529.83</v>
      </c>
      <c r="I117" s="329">
        <f t="shared" si="725"/>
        <v>682</v>
      </c>
      <c r="J117" s="346">
        <f t="shared" si="726"/>
        <v>184.06133431085044</v>
      </c>
      <c r="K117" s="326">
        <f t="shared" si="727"/>
        <v>105735.36</v>
      </c>
      <c r="L117" s="329">
        <f t="shared" si="728"/>
        <v>592</v>
      </c>
      <c r="M117" s="346">
        <f t="shared" si="729"/>
        <v>178.60702702702702</v>
      </c>
      <c r="N117" s="326">
        <f t="shared" si="730"/>
        <v>167416.25</v>
      </c>
      <c r="O117" s="329">
        <f t="shared" si="731"/>
        <v>886</v>
      </c>
      <c r="P117" s="346">
        <f t="shared" si="732"/>
        <v>188.9573927765237</v>
      </c>
      <c r="Q117" s="326">
        <f t="shared" si="733"/>
        <v>105056.72</v>
      </c>
      <c r="R117" s="329">
        <f t="shared" si="734"/>
        <v>543</v>
      </c>
      <c r="S117" s="346">
        <f t="shared" si="735"/>
        <v>193.47462246777164</v>
      </c>
      <c r="T117" s="326">
        <f t="shared" si="736"/>
        <v>161920.35999999999</v>
      </c>
      <c r="U117" s="329">
        <f t="shared" si="737"/>
        <v>853</v>
      </c>
      <c r="V117" s="346">
        <f t="shared" si="738"/>
        <v>189.82457209847595</v>
      </c>
      <c r="W117" s="326">
        <f t="shared" si="739"/>
        <v>115622.18</v>
      </c>
      <c r="X117" s="329">
        <f t="shared" si="740"/>
        <v>573</v>
      </c>
      <c r="Y117" s="346">
        <f t="shared" si="741"/>
        <v>201.78390924956369</v>
      </c>
      <c r="Z117" s="326">
        <f t="shared" si="742"/>
        <v>146845.97</v>
      </c>
      <c r="AA117" s="329">
        <f t="shared" si="743"/>
        <v>766</v>
      </c>
      <c r="AB117" s="346">
        <f t="shared" si="744"/>
        <v>191.70492167101827</v>
      </c>
      <c r="AC117" s="326">
        <f t="shared" si="745"/>
        <v>131783.01999999999</v>
      </c>
      <c r="AD117" s="329">
        <f t="shared" si="746"/>
        <v>715</v>
      </c>
      <c r="AE117" s="346">
        <f t="shared" si="747"/>
        <v>184.31191608391606</v>
      </c>
      <c r="AF117" s="326">
        <f t="shared" si="748"/>
        <v>92261.37</v>
      </c>
      <c r="AG117" s="329">
        <f t="shared" si="749"/>
        <v>491</v>
      </c>
      <c r="AH117" s="346">
        <f t="shared" si="750"/>
        <v>187.90503054989816</v>
      </c>
      <c r="AI117" s="326">
        <f t="shared" si="751"/>
        <v>154986.15</v>
      </c>
      <c r="AJ117" s="329">
        <f t="shared" si="752"/>
        <v>818</v>
      </c>
      <c r="AK117" s="346">
        <f t="shared" si="753"/>
        <v>189.46962102689486</v>
      </c>
      <c r="AL117" s="379"/>
      <c r="AM117" s="380"/>
      <c r="AN117" s="394"/>
      <c r="AO117" s="326">
        <f t="shared" si="754"/>
        <v>139452.87</v>
      </c>
      <c r="AP117" s="329">
        <f t="shared" si="755"/>
        <v>716</v>
      </c>
      <c r="AQ117" s="346">
        <f t="shared" si="756"/>
        <v>194.76657821229048</v>
      </c>
      <c r="AR117" s="326">
        <f t="shared" si="757"/>
        <v>152562.49</v>
      </c>
      <c r="AS117" s="329">
        <f t="shared" si="758"/>
        <v>797</v>
      </c>
      <c r="AT117" s="346">
        <f t="shared" si="759"/>
        <v>191.42094102885821</v>
      </c>
      <c r="AU117" s="326">
        <f t="shared" si="760"/>
        <v>134839.67999999999</v>
      </c>
      <c r="AV117" s="329">
        <f t="shared" si="761"/>
        <v>758</v>
      </c>
      <c r="AW117" s="346">
        <f t="shared" si="762"/>
        <v>177.8887598944591</v>
      </c>
      <c r="AX117" s="326">
        <f t="shared" si="773"/>
        <v>130521.73</v>
      </c>
      <c r="AY117" s="329">
        <f t="shared" si="774"/>
        <v>690</v>
      </c>
      <c r="AZ117" s="346">
        <f t="shared" si="763"/>
        <v>189.16192753623187</v>
      </c>
      <c r="BA117" s="326">
        <f t="shared" si="764"/>
        <v>160176.21</v>
      </c>
      <c r="BB117" s="329">
        <f t="shared" si="765"/>
        <v>829</v>
      </c>
      <c r="BC117" s="346">
        <f t="shared" si="775"/>
        <v>193.21617611580217</v>
      </c>
      <c r="BD117" s="326">
        <f t="shared" si="767"/>
        <v>169724</v>
      </c>
      <c r="BE117" s="329">
        <f t="shared" si="767"/>
        <v>887</v>
      </c>
      <c r="BF117" s="346">
        <f t="shared" si="776"/>
        <v>191.34611048478016</v>
      </c>
      <c r="BG117" s="326">
        <f t="shared" ref="BG117:BG135" si="781">AVERAGE(B117,E117,H117,K117,N117,Q117,T117,W117,Z117,AC117,AI117,AO117,AR117,AU117,AX117,BA117)</f>
        <v>134685.95187499997</v>
      </c>
      <c r="BH117" s="329">
        <f t="shared" ref="BH117:BH135" si="782">AVERAGE(C117,F117,I117,L117,O117,R117,U117,X117,AA117,AD117,AJ117,AP117,AS117,AV117,AY117,BB117)</f>
        <v>707.8125</v>
      </c>
      <c r="BI117" s="346">
        <f t="shared" ref="BI117:BI135" si="783">BG117/BH117</f>
        <v>190.28478852097126</v>
      </c>
      <c r="BJ117" s="326">
        <f t="shared" ref="BJ117:BJ135" si="784">MIN(B117,E117,H117,K117,N117,Q117,T117,W117,Z117,AC117,AI117,AO117,AR117,AU117,AX117,BA117)</f>
        <v>97685.65</v>
      </c>
      <c r="BK117" s="329">
        <f t="shared" ref="BK117:BK135" si="785">MIN(C117,F117,I117,L117,O117,R117,U117,X117,AA117,AD117,AJ117,AP117,AS117,AV117,AY117,BB117)</f>
        <v>482</v>
      </c>
      <c r="BL117" s="346">
        <f t="shared" ref="BL117:BL135" si="786">MIN(D117,G117,J117,M117,P117,S117,V117,Y117,AB117,AE117,AK117,AQ117,AT117,AW117,AZ117,BC117)</f>
        <v>177.8887598944591</v>
      </c>
      <c r="BM117" s="326">
        <f t="shared" ref="BM117:BM135" si="787">MAX(B117,E117,H117,K117,N117,Q117,T117,W117,Z117,AC117,AI117,AO117,AR117,AU117,AX117,BA117)</f>
        <v>167416.25</v>
      </c>
      <c r="BN117" s="329">
        <f t="shared" ref="BN117:BN135" si="788">MAX(C117,F117,I117,L117,O117,R117,U117,X117,AA117,AD117,AJ117,AP117,AS117,AV117,AY117,BB117)</f>
        <v>886</v>
      </c>
      <c r="BO117" s="346">
        <f t="shared" ref="BO117:BO135" si="789">MAX(D117,G117,J117,M117,P117,S117,V117,Y117,AB117,AE117,AK117,AQ117,AT117,AW117,AZ117,BC117)</f>
        <v>202.66732365145228</v>
      </c>
    </row>
    <row r="118" spans="1:163" hidden="1" outlineLevel="1" x14ac:dyDescent="0.25">
      <c r="A118" s="333">
        <v>4</v>
      </c>
      <c r="B118" s="327">
        <f t="shared" si="718"/>
        <v>104356.83</v>
      </c>
      <c r="C118" s="330">
        <f t="shared" si="719"/>
        <v>509</v>
      </c>
      <c r="D118" s="347">
        <f t="shared" si="720"/>
        <v>205.02324165029469</v>
      </c>
      <c r="E118" s="327">
        <f t="shared" si="721"/>
        <v>138881.03</v>
      </c>
      <c r="F118" s="330">
        <f t="shared" si="722"/>
        <v>689</v>
      </c>
      <c r="G118" s="347">
        <f t="shared" si="723"/>
        <v>201.56898403483308</v>
      </c>
      <c r="H118" s="327">
        <f t="shared" si="724"/>
        <v>132971.84</v>
      </c>
      <c r="I118" s="330">
        <f t="shared" si="725"/>
        <v>726</v>
      </c>
      <c r="J118" s="347">
        <f t="shared" si="726"/>
        <v>183.15680440771348</v>
      </c>
      <c r="K118" s="327">
        <f t="shared" si="727"/>
        <v>115872.9</v>
      </c>
      <c r="L118" s="330">
        <f t="shared" si="728"/>
        <v>650</v>
      </c>
      <c r="M118" s="347">
        <f t="shared" si="729"/>
        <v>178.26599999999999</v>
      </c>
      <c r="N118" s="327">
        <f t="shared" si="730"/>
        <v>174364.66</v>
      </c>
      <c r="O118" s="330">
        <f t="shared" si="731"/>
        <v>927</v>
      </c>
      <c r="P118" s="347">
        <f t="shared" si="732"/>
        <v>188.0956418554477</v>
      </c>
      <c r="Q118" s="327">
        <f t="shared" si="733"/>
        <v>112982.49</v>
      </c>
      <c r="R118" s="330">
        <f t="shared" si="734"/>
        <v>588</v>
      </c>
      <c r="S118" s="347">
        <f t="shared" si="735"/>
        <v>192.14709183673472</v>
      </c>
      <c r="T118" s="327">
        <f t="shared" si="736"/>
        <v>171939.99</v>
      </c>
      <c r="U118" s="330">
        <f t="shared" si="737"/>
        <v>905</v>
      </c>
      <c r="V118" s="347">
        <f t="shared" si="738"/>
        <v>189.98893922651934</v>
      </c>
      <c r="W118" s="327">
        <f t="shared" si="739"/>
        <v>125933.75</v>
      </c>
      <c r="X118" s="330">
        <f t="shared" si="740"/>
        <v>628</v>
      </c>
      <c r="Y118" s="347">
        <f t="shared" si="741"/>
        <v>200.531449044586</v>
      </c>
      <c r="Z118" s="327">
        <f t="shared" si="742"/>
        <v>160119.96</v>
      </c>
      <c r="AA118" s="330">
        <f t="shared" si="743"/>
        <v>835</v>
      </c>
      <c r="AB118" s="347">
        <f t="shared" si="744"/>
        <v>191.76043113772454</v>
      </c>
      <c r="AC118" s="327">
        <f t="shared" si="745"/>
        <v>142569.63</v>
      </c>
      <c r="AD118" s="330">
        <f t="shared" si="746"/>
        <v>779</v>
      </c>
      <c r="AE118" s="347">
        <f t="shared" si="747"/>
        <v>183.01621309370989</v>
      </c>
      <c r="AF118" s="327">
        <f t="shared" si="748"/>
        <v>98381.14</v>
      </c>
      <c r="AG118" s="330">
        <f t="shared" si="749"/>
        <v>527</v>
      </c>
      <c r="AH118" s="347">
        <f t="shared" si="750"/>
        <v>186.68148007590133</v>
      </c>
      <c r="AI118" s="327">
        <f t="shared" si="751"/>
        <v>170409.52</v>
      </c>
      <c r="AJ118" s="330">
        <f t="shared" si="752"/>
        <v>893</v>
      </c>
      <c r="AK118" s="347">
        <f t="shared" si="753"/>
        <v>190.82812989921612</v>
      </c>
      <c r="AL118" s="379"/>
      <c r="AM118" s="380"/>
      <c r="AN118" s="394"/>
      <c r="AO118" s="326">
        <f t="shared" si="754"/>
        <v>148233.09</v>
      </c>
      <c r="AP118" s="329">
        <f t="shared" si="755"/>
        <v>768</v>
      </c>
      <c r="AQ118" s="346">
        <f t="shared" si="756"/>
        <v>193.0118359375</v>
      </c>
      <c r="AR118" s="326">
        <f t="shared" si="757"/>
        <v>165754.79999999999</v>
      </c>
      <c r="AS118" s="329">
        <f t="shared" si="758"/>
        <v>869</v>
      </c>
      <c r="AT118" s="346">
        <f t="shared" si="759"/>
        <v>190.74200230149597</v>
      </c>
      <c r="AU118" s="326">
        <f t="shared" si="760"/>
        <v>165113.68</v>
      </c>
      <c r="AV118" s="329">
        <f t="shared" si="761"/>
        <v>928</v>
      </c>
      <c r="AW118" s="346">
        <f t="shared" si="762"/>
        <v>177.92422413793102</v>
      </c>
      <c r="AX118" s="326">
        <f t="shared" si="773"/>
        <v>142927.85</v>
      </c>
      <c r="AY118" s="329">
        <f t="shared" si="774"/>
        <v>759</v>
      </c>
      <c r="AZ118" s="346">
        <f t="shared" si="763"/>
        <v>188.31073781291173</v>
      </c>
      <c r="BA118" s="326">
        <f t="shared" si="764"/>
        <v>172802.34</v>
      </c>
      <c r="BB118" s="329">
        <f t="shared" si="765"/>
        <v>892</v>
      </c>
      <c r="BC118" s="346">
        <f t="shared" si="775"/>
        <v>193.72459641255605</v>
      </c>
      <c r="BD118" s="326">
        <f t="shared" si="767"/>
        <v>179924</v>
      </c>
      <c r="BE118" s="329">
        <f t="shared" si="767"/>
        <v>938</v>
      </c>
      <c r="BF118" s="346">
        <f t="shared" ref="BF118" si="790">BD118/BE118</f>
        <v>191.81663113006397</v>
      </c>
      <c r="BG118" s="327">
        <f t="shared" si="781"/>
        <v>146577.14749999999</v>
      </c>
      <c r="BH118" s="330">
        <f t="shared" si="782"/>
        <v>771.5625</v>
      </c>
      <c r="BI118" s="347">
        <f t="shared" si="783"/>
        <v>189.97443175374644</v>
      </c>
      <c r="BJ118" s="327">
        <f t="shared" si="784"/>
        <v>104356.83</v>
      </c>
      <c r="BK118" s="330">
        <f t="shared" si="785"/>
        <v>509</v>
      </c>
      <c r="BL118" s="347">
        <f t="shared" si="786"/>
        <v>177.92422413793102</v>
      </c>
      <c r="BM118" s="327">
        <f t="shared" si="787"/>
        <v>174364.66</v>
      </c>
      <c r="BN118" s="330">
        <f t="shared" si="788"/>
        <v>928</v>
      </c>
      <c r="BO118" s="347">
        <f t="shared" si="789"/>
        <v>205.02324165029469</v>
      </c>
    </row>
    <row r="119" spans="1:163" hidden="1" outlineLevel="1" x14ac:dyDescent="0.25">
      <c r="A119" s="333">
        <v>5</v>
      </c>
      <c r="B119" s="326">
        <f t="shared" si="718"/>
        <v>120965.72</v>
      </c>
      <c r="C119" s="329">
        <f t="shared" si="719"/>
        <v>595</v>
      </c>
      <c r="D119" s="346">
        <f t="shared" si="720"/>
        <v>203.30373109243698</v>
      </c>
      <c r="E119" s="326">
        <f t="shared" si="721"/>
        <v>146181.42000000001</v>
      </c>
      <c r="F119" s="329">
        <f t="shared" si="722"/>
        <v>737</v>
      </c>
      <c r="G119" s="346">
        <f t="shared" si="723"/>
        <v>198.34656716417913</v>
      </c>
      <c r="H119" s="326">
        <f t="shared" si="724"/>
        <v>140752.12</v>
      </c>
      <c r="I119" s="329">
        <f t="shared" si="725"/>
        <v>770</v>
      </c>
      <c r="J119" s="346">
        <f t="shared" si="726"/>
        <v>182.79496103896102</v>
      </c>
      <c r="K119" s="326">
        <f t="shared" si="727"/>
        <v>124650.11</v>
      </c>
      <c r="L119" s="329">
        <f t="shared" si="728"/>
        <v>698</v>
      </c>
      <c r="M119" s="346">
        <f t="shared" si="729"/>
        <v>178.5818194842407</v>
      </c>
      <c r="N119" s="326">
        <f t="shared" si="730"/>
        <v>179379.53</v>
      </c>
      <c r="O119" s="329">
        <f t="shared" si="731"/>
        <v>955</v>
      </c>
      <c r="P119" s="346">
        <f t="shared" si="732"/>
        <v>187.83196858638743</v>
      </c>
      <c r="Q119" s="326">
        <f t="shared" si="733"/>
        <v>120434.73</v>
      </c>
      <c r="R119" s="329">
        <f t="shared" si="734"/>
        <v>638</v>
      </c>
      <c r="S119" s="346">
        <f t="shared" si="735"/>
        <v>188.76916927899686</v>
      </c>
      <c r="T119" s="326">
        <f t="shared" si="736"/>
        <v>176399.52</v>
      </c>
      <c r="U119" s="329">
        <f t="shared" si="737"/>
        <v>925</v>
      </c>
      <c r="V119" s="346">
        <f t="shared" si="738"/>
        <v>190.70218378378377</v>
      </c>
      <c r="W119" s="326">
        <f t="shared" si="739"/>
        <v>134292.6</v>
      </c>
      <c r="X119" s="329">
        <f t="shared" si="740"/>
        <v>677</v>
      </c>
      <c r="Y119" s="346">
        <f t="shared" si="741"/>
        <v>198.36425406203841</v>
      </c>
      <c r="Z119" s="326">
        <f t="shared" si="742"/>
        <v>170439.41</v>
      </c>
      <c r="AA119" s="329">
        <f t="shared" si="743"/>
        <v>888</v>
      </c>
      <c r="AB119" s="346">
        <f t="shared" si="744"/>
        <v>191.93627252252253</v>
      </c>
      <c r="AC119" s="326">
        <f t="shared" si="745"/>
        <v>150381.67000000001</v>
      </c>
      <c r="AD119" s="329">
        <f t="shared" si="746"/>
        <v>821</v>
      </c>
      <c r="AE119" s="346">
        <f t="shared" si="747"/>
        <v>183.16890377588308</v>
      </c>
      <c r="AF119" s="326">
        <f t="shared" si="748"/>
        <v>106435.16</v>
      </c>
      <c r="AG119" s="329">
        <f t="shared" si="749"/>
        <v>573</v>
      </c>
      <c r="AH119" s="346">
        <f t="shared" si="750"/>
        <v>185.75071553228622</v>
      </c>
      <c r="AI119" s="326">
        <f t="shared" si="751"/>
        <v>177146.17</v>
      </c>
      <c r="AJ119" s="329">
        <f t="shared" si="752"/>
        <v>932</v>
      </c>
      <c r="AK119" s="346">
        <f t="shared" si="753"/>
        <v>190.07099785407726</v>
      </c>
      <c r="AL119" s="379"/>
      <c r="AM119" s="380"/>
      <c r="AN119" s="394"/>
      <c r="AO119" s="326">
        <f t="shared" si="754"/>
        <v>156438.85999999999</v>
      </c>
      <c r="AP119" s="329">
        <f t="shared" si="755"/>
        <v>816</v>
      </c>
      <c r="AQ119" s="346">
        <f t="shared" si="756"/>
        <v>191.71428921568625</v>
      </c>
      <c r="AR119" s="326">
        <f t="shared" si="757"/>
        <v>171651.16</v>
      </c>
      <c r="AS119" s="329">
        <f t="shared" si="758"/>
        <v>905</v>
      </c>
      <c r="AT119" s="346">
        <f t="shared" si="759"/>
        <v>189.66979005524863</v>
      </c>
      <c r="AU119" s="326">
        <f t="shared" si="760"/>
        <v>178859.57</v>
      </c>
      <c r="AV119" s="329">
        <f t="shared" si="761"/>
        <v>1010</v>
      </c>
      <c r="AW119" s="346">
        <f t="shared" si="762"/>
        <v>177.08868316831683</v>
      </c>
      <c r="AX119" s="326">
        <f t="shared" si="773"/>
        <v>150013.20000000001</v>
      </c>
      <c r="AY119" s="329">
        <f t="shared" si="774"/>
        <v>798</v>
      </c>
      <c r="AZ119" s="346">
        <f t="shared" si="763"/>
        <v>187.98646616541356</v>
      </c>
      <c r="BA119" s="326">
        <f t="shared" si="764"/>
        <v>185951.86</v>
      </c>
      <c r="BB119" s="329">
        <f t="shared" si="765"/>
        <v>957</v>
      </c>
      <c r="BC119" s="346">
        <f t="shared" si="775"/>
        <v>194.30706374085682</v>
      </c>
      <c r="BD119" s="326">
        <f t="shared" si="767"/>
        <v>186522</v>
      </c>
      <c r="BE119" s="329">
        <f t="shared" si="767"/>
        <v>971</v>
      </c>
      <c r="BF119" s="346">
        <f t="shared" si="776"/>
        <v>192.09268795056641</v>
      </c>
      <c r="BG119" s="326">
        <f t="shared" si="781"/>
        <v>155246.10312499999</v>
      </c>
      <c r="BH119" s="329">
        <f t="shared" si="782"/>
        <v>820.125</v>
      </c>
      <c r="BI119" s="346">
        <f t="shared" si="783"/>
        <v>189.29565996037189</v>
      </c>
      <c r="BJ119" s="326">
        <f t="shared" si="784"/>
        <v>120434.73</v>
      </c>
      <c r="BK119" s="329">
        <f t="shared" si="785"/>
        <v>595</v>
      </c>
      <c r="BL119" s="346">
        <f t="shared" si="786"/>
        <v>177.08868316831683</v>
      </c>
      <c r="BM119" s="326">
        <f t="shared" si="787"/>
        <v>185951.86</v>
      </c>
      <c r="BN119" s="329">
        <f t="shared" si="788"/>
        <v>1010</v>
      </c>
      <c r="BO119" s="346">
        <f t="shared" si="789"/>
        <v>203.30373109243698</v>
      </c>
    </row>
    <row r="120" spans="1:163" hidden="1" outlineLevel="1" x14ac:dyDescent="0.25">
      <c r="A120" s="833">
        <v>6</v>
      </c>
      <c r="B120" s="327">
        <f t="shared" si="718"/>
        <v>124751.77</v>
      </c>
      <c r="C120" s="330">
        <f t="shared" si="719"/>
        <v>616</v>
      </c>
      <c r="D120" s="347">
        <f t="shared" si="720"/>
        <v>202.51910714285714</v>
      </c>
      <c r="E120" s="327">
        <f t="shared" si="721"/>
        <v>150890.07</v>
      </c>
      <c r="F120" s="330">
        <f t="shared" si="722"/>
        <v>764</v>
      </c>
      <c r="G120" s="347">
        <f t="shared" si="723"/>
        <v>197.50009162303667</v>
      </c>
      <c r="H120" s="327">
        <f t="shared" si="724"/>
        <v>149253.32</v>
      </c>
      <c r="I120" s="330">
        <f t="shared" si="725"/>
        <v>809</v>
      </c>
      <c r="J120" s="347">
        <f t="shared" si="726"/>
        <v>184.49112484548826</v>
      </c>
      <c r="K120" s="327">
        <f t="shared" si="727"/>
        <v>143220.95000000001</v>
      </c>
      <c r="L120" s="330">
        <f t="shared" si="728"/>
        <v>804</v>
      </c>
      <c r="M120" s="347">
        <f t="shared" si="729"/>
        <v>178.13550995024877</v>
      </c>
      <c r="N120" s="327">
        <f t="shared" si="730"/>
        <v>185281.24</v>
      </c>
      <c r="O120" s="330">
        <f t="shared" si="731"/>
        <v>991</v>
      </c>
      <c r="P120" s="347">
        <f t="shared" si="732"/>
        <v>186.96391523713419</v>
      </c>
      <c r="Q120" s="327">
        <f t="shared" si="733"/>
        <v>137728.71</v>
      </c>
      <c r="R120" s="330">
        <f t="shared" si="734"/>
        <v>737</v>
      </c>
      <c r="S120" s="347">
        <f t="shared" si="735"/>
        <v>186.87748982360921</v>
      </c>
      <c r="T120" s="327">
        <f t="shared" si="736"/>
        <v>180546.89</v>
      </c>
      <c r="U120" s="330">
        <f t="shared" si="737"/>
        <v>946</v>
      </c>
      <c r="V120" s="347">
        <f t="shared" si="738"/>
        <v>190.85294926004229</v>
      </c>
      <c r="W120" s="327">
        <f t="shared" si="739"/>
        <v>137925.56</v>
      </c>
      <c r="X120" s="330">
        <f t="shared" si="740"/>
        <v>694</v>
      </c>
      <c r="Y120" s="347">
        <f t="shared" si="741"/>
        <v>198.74</v>
      </c>
      <c r="Z120" s="327">
        <f t="shared" si="742"/>
        <v>179626.67</v>
      </c>
      <c r="AA120" s="330">
        <f t="shared" si="743"/>
        <v>944</v>
      </c>
      <c r="AB120" s="347">
        <f t="shared" si="744"/>
        <v>190.28248940677966</v>
      </c>
      <c r="AC120" s="327">
        <f t="shared" si="745"/>
        <v>162620.51999999999</v>
      </c>
      <c r="AD120" s="330">
        <f t="shared" si="746"/>
        <v>871</v>
      </c>
      <c r="AE120" s="347">
        <f t="shared" si="747"/>
        <v>186.70553386911595</v>
      </c>
      <c r="AF120" s="327">
        <f t="shared" si="748"/>
        <v>120314.52</v>
      </c>
      <c r="AG120" s="330">
        <f t="shared" si="749"/>
        <v>644</v>
      </c>
      <c r="AH120" s="347">
        <f t="shared" si="750"/>
        <v>186.82378881987577</v>
      </c>
      <c r="AI120" s="327">
        <f t="shared" si="751"/>
        <v>183268.24</v>
      </c>
      <c r="AJ120" s="330">
        <f t="shared" si="752"/>
        <v>966</v>
      </c>
      <c r="AK120" s="347">
        <f t="shared" si="753"/>
        <v>189.71867494824016</v>
      </c>
      <c r="AL120" s="379"/>
      <c r="AM120" s="380"/>
      <c r="AN120" s="394"/>
      <c r="AO120" s="326">
        <f t="shared" si="754"/>
        <v>166508.28</v>
      </c>
      <c r="AP120" s="329">
        <f t="shared" si="755"/>
        <v>872</v>
      </c>
      <c r="AQ120" s="346">
        <f t="shared" si="756"/>
        <v>190.9498623853211</v>
      </c>
      <c r="AR120" s="326">
        <f t="shared" si="757"/>
        <v>177467.86</v>
      </c>
      <c r="AS120" s="329">
        <f t="shared" si="758"/>
        <v>940</v>
      </c>
      <c r="AT120" s="346">
        <f t="shared" si="759"/>
        <v>188.79559574468084</v>
      </c>
      <c r="AU120" s="326">
        <f t="shared" si="760"/>
        <v>189144.64</v>
      </c>
      <c r="AV120" s="329">
        <f t="shared" si="761"/>
        <v>1068</v>
      </c>
      <c r="AW120" s="346">
        <f t="shared" si="762"/>
        <v>177.10172284644196</v>
      </c>
      <c r="AX120" s="326">
        <f t="shared" si="773"/>
        <v>158901.32</v>
      </c>
      <c r="AY120" s="329">
        <f t="shared" si="774"/>
        <v>848</v>
      </c>
      <c r="AZ120" s="346">
        <f t="shared" si="763"/>
        <v>187.3836320754717</v>
      </c>
      <c r="BA120" s="326">
        <f t="shared" si="764"/>
        <v>194925.55</v>
      </c>
      <c r="BB120" s="329">
        <f t="shared" si="765"/>
        <v>1007</v>
      </c>
      <c r="BC120" s="346">
        <f t="shared" si="775"/>
        <v>193.57055610724925</v>
      </c>
      <c r="BD120" s="326">
        <f t="shared" si="767"/>
        <v>194535</v>
      </c>
      <c r="BE120" s="329">
        <f t="shared" si="767"/>
        <v>1014</v>
      </c>
      <c r="BF120" s="346">
        <f t="shared" si="776"/>
        <v>191.8491124260355</v>
      </c>
      <c r="BG120" s="327">
        <f t="shared" si="781"/>
        <v>163878.84937499999</v>
      </c>
      <c r="BH120" s="330">
        <f t="shared" si="782"/>
        <v>867.3125</v>
      </c>
      <c r="BI120" s="347">
        <f t="shared" si="783"/>
        <v>188.95017583051091</v>
      </c>
      <c r="BJ120" s="327">
        <f t="shared" si="784"/>
        <v>124751.77</v>
      </c>
      <c r="BK120" s="330">
        <f>MIN(C120,F120,I120,L120,O120,R120,U120,X120,AA120,AD120,AJ120,AP120,AS120,AV120,AY120,BB120)</f>
        <v>616</v>
      </c>
      <c r="BL120" s="347">
        <f t="shared" si="786"/>
        <v>177.10172284644196</v>
      </c>
      <c r="BM120" s="327">
        <f t="shared" si="787"/>
        <v>194925.55</v>
      </c>
      <c r="BN120" s="330">
        <f t="shared" si="788"/>
        <v>1068</v>
      </c>
      <c r="BO120" s="347">
        <f t="shared" si="789"/>
        <v>202.51910714285714</v>
      </c>
    </row>
    <row r="121" spans="1:163" hidden="1" outlineLevel="1" x14ac:dyDescent="0.25">
      <c r="A121" s="833">
        <v>7</v>
      </c>
      <c r="B121" s="326">
        <f t="shared" si="718"/>
        <v>133644.84</v>
      </c>
      <c r="C121" s="329">
        <f t="shared" si="719"/>
        <v>664</v>
      </c>
      <c r="D121" s="346">
        <f t="shared" si="720"/>
        <v>201.27234939759035</v>
      </c>
      <c r="E121" s="326">
        <f t="shared" si="721"/>
        <v>161254.68</v>
      </c>
      <c r="F121" s="329">
        <f t="shared" si="722"/>
        <v>823</v>
      </c>
      <c r="G121" s="346">
        <f t="shared" si="723"/>
        <v>195.93521263669501</v>
      </c>
      <c r="H121" s="326">
        <f t="shared" si="724"/>
        <v>155220.23000000001</v>
      </c>
      <c r="I121" s="329">
        <f t="shared" si="725"/>
        <v>848</v>
      </c>
      <c r="J121" s="346">
        <f t="shared" si="726"/>
        <v>183.04272405660379</v>
      </c>
      <c r="K121" s="326">
        <f t="shared" si="727"/>
        <v>153698.57</v>
      </c>
      <c r="L121" s="329">
        <f t="shared" si="728"/>
        <v>862</v>
      </c>
      <c r="M121" s="346">
        <f t="shared" si="729"/>
        <v>178.30460556844548</v>
      </c>
      <c r="N121" s="326">
        <f t="shared" si="730"/>
        <v>201274.18</v>
      </c>
      <c r="O121" s="329">
        <f t="shared" si="731"/>
        <v>1086</v>
      </c>
      <c r="P121" s="346">
        <f t="shared" si="732"/>
        <v>185.33534069981584</v>
      </c>
      <c r="Q121" s="326">
        <f t="shared" si="733"/>
        <v>150076.73000000001</v>
      </c>
      <c r="R121" s="329">
        <f t="shared" si="734"/>
        <v>802</v>
      </c>
      <c r="S121" s="346">
        <f t="shared" si="735"/>
        <v>187.12809226932669</v>
      </c>
      <c r="T121" s="326">
        <f t="shared" si="736"/>
        <v>185698.12</v>
      </c>
      <c r="U121" s="329">
        <f t="shared" si="737"/>
        <v>974</v>
      </c>
      <c r="V121" s="346">
        <f t="shared" si="738"/>
        <v>190.65515400410678</v>
      </c>
      <c r="W121" s="326">
        <f t="shared" si="739"/>
        <v>151431.12</v>
      </c>
      <c r="X121" s="329">
        <f t="shared" si="740"/>
        <v>755</v>
      </c>
      <c r="Y121" s="346">
        <f t="shared" si="741"/>
        <v>200.57101986754967</v>
      </c>
      <c r="Z121" s="326">
        <f t="shared" si="742"/>
        <v>188750.62</v>
      </c>
      <c r="AA121" s="329">
        <f t="shared" si="743"/>
        <v>999</v>
      </c>
      <c r="AB121" s="346">
        <f t="shared" si="744"/>
        <v>188.93955955955954</v>
      </c>
      <c r="AC121" s="326">
        <f t="shared" si="745"/>
        <v>167528.07999999999</v>
      </c>
      <c r="AD121" s="329">
        <f t="shared" si="746"/>
        <v>899</v>
      </c>
      <c r="AE121" s="346">
        <f t="shared" si="747"/>
        <v>186.34936596218017</v>
      </c>
      <c r="AF121" s="326">
        <f t="shared" si="748"/>
        <v>133058.39000000001</v>
      </c>
      <c r="AG121" s="329">
        <f t="shared" si="749"/>
        <v>710</v>
      </c>
      <c r="AH121" s="346">
        <f t="shared" si="750"/>
        <v>187.40618309859155</v>
      </c>
      <c r="AI121" s="326">
        <f t="shared" si="751"/>
        <v>191352.21</v>
      </c>
      <c r="AJ121" s="329">
        <f t="shared" si="752"/>
        <v>1009</v>
      </c>
      <c r="AK121" s="346">
        <f t="shared" si="753"/>
        <v>189.64540138751238</v>
      </c>
      <c r="AL121" s="379"/>
      <c r="AM121" s="380"/>
      <c r="AN121" s="394"/>
      <c r="AO121" s="326">
        <f t="shared" si="754"/>
        <v>174289.84</v>
      </c>
      <c r="AP121" s="329">
        <f t="shared" si="755"/>
        <v>921</v>
      </c>
      <c r="AQ121" s="346">
        <f t="shared" si="756"/>
        <v>189.23978284473398</v>
      </c>
      <c r="AR121" s="326">
        <f t="shared" si="757"/>
        <v>185219.64</v>
      </c>
      <c r="AS121" s="329">
        <f t="shared" si="758"/>
        <v>979</v>
      </c>
      <c r="AT121" s="346">
        <f t="shared" si="759"/>
        <v>189.1926864147089</v>
      </c>
      <c r="AU121" s="326">
        <f t="shared" si="760"/>
        <v>196164.67</v>
      </c>
      <c r="AV121" s="329">
        <f t="shared" si="761"/>
        <v>1108</v>
      </c>
      <c r="AW121" s="346">
        <f t="shared" si="762"/>
        <v>177.0439259927798</v>
      </c>
      <c r="AX121" s="326">
        <f t="shared" si="773"/>
        <v>165084.35999999999</v>
      </c>
      <c r="AY121" s="329">
        <f t="shared" si="774"/>
        <v>881</v>
      </c>
      <c r="AZ121" s="346">
        <f t="shared" si="763"/>
        <v>187.38292849035184</v>
      </c>
      <c r="BA121" s="326">
        <f t="shared" si="764"/>
        <v>202456.87</v>
      </c>
      <c r="BB121" s="329">
        <f t="shared" si="765"/>
        <v>1048</v>
      </c>
      <c r="BC121" s="346">
        <f t="shared" si="775"/>
        <v>193.18403625954198</v>
      </c>
      <c r="BD121" s="326">
        <f t="shared" si="767"/>
        <v>199150</v>
      </c>
      <c r="BE121" s="329">
        <f t="shared" si="767"/>
        <v>1040</v>
      </c>
      <c r="BF121" s="346">
        <f t="shared" si="768"/>
        <v>191.49038461538461</v>
      </c>
      <c r="BG121" s="326">
        <f t="shared" si="781"/>
        <v>172696.54750000002</v>
      </c>
      <c r="BH121" s="329">
        <f t="shared" si="782"/>
        <v>916.125</v>
      </c>
      <c r="BI121" s="346">
        <f t="shared" si="783"/>
        <v>188.50762450538957</v>
      </c>
      <c r="BJ121" s="326">
        <f t="shared" si="784"/>
        <v>133644.84</v>
      </c>
      <c r="BK121" s="329">
        <f t="shared" si="785"/>
        <v>664</v>
      </c>
      <c r="BL121" s="346">
        <f t="shared" si="786"/>
        <v>177.0439259927798</v>
      </c>
      <c r="BM121" s="326">
        <f t="shared" si="787"/>
        <v>202456.87</v>
      </c>
      <c r="BN121" s="329">
        <f t="shared" si="788"/>
        <v>1108</v>
      </c>
      <c r="BO121" s="346">
        <f t="shared" si="789"/>
        <v>201.27234939759035</v>
      </c>
    </row>
    <row r="122" spans="1:163" hidden="1" outlineLevel="1" x14ac:dyDescent="0.25">
      <c r="A122" s="833">
        <v>8</v>
      </c>
      <c r="B122" s="327">
        <f t="shared" si="718"/>
        <v>147457.01999999999</v>
      </c>
      <c r="C122" s="330">
        <f t="shared" si="719"/>
        <v>729</v>
      </c>
      <c r="D122" s="347">
        <f t="shared" si="720"/>
        <v>202.27300411522631</v>
      </c>
      <c r="E122" s="327">
        <f t="shared" si="721"/>
        <v>168573.59</v>
      </c>
      <c r="F122" s="330">
        <f t="shared" si="722"/>
        <v>859</v>
      </c>
      <c r="G122" s="347">
        <f t="shared" si="723"/>
        <v>196.24399301513387</v>
      </c>
      <c r="H122" s="327">
        <f t="shared" si="724"/>
        <v>163022.70000000001</v>
      </c>
      <c r="I122" s="330">
        <f t="shared" si="725"/>
        <v>894</v>
      </c>
      <c r="J122" s="347">
        <f t="shared" si="726"/>
        <v>182.3520134228188</v>
      </c>
      <c r="K122" s="327">
        <f t="shared" si="727"/>
        <v>167236.95000000001</v>
      </c>
      <c r="L122" s="330">
        <f t="shared" si="728"/>
        <v>924</v>
      </c>
      <c r="M122" s="347">
        <f t="shared" si="729"/>
        <v>180.99237012987015</v>
      </c>
      <c r="N122" s="327">
        <f t="shared" si="730"/>
        <v>210643.94</v>
      </c>
      <c r="O122" s="330">
        <f t="shared" si="731"/>
        <v>1128</v>
      </c>
      <c r="P122" s="347">
        <f t="shared" si="732"/>
        <v>186.7410815602837</v>
      </c>
      <c r="Q122" s="327">
        <f t="shared" si="733"/>
        <v>166834.23999999999</v>
      </c>
      <c r="R122" s="330">
        <f t="shared" si="734"/>
        <v>896</v>
      </c>
      <c r="S122" s="347">
        <f t="shared" si="735"/>
        <v>186.19892857142855</v>
      </c>
      <c r="T122" s="327">
        <f t="shared" si="736"/>
        <v>190588.5</v>
      </c>
      <c r="U122" s="330">
        <f t="shared" si="737"/>
        <v>1004</v>
      </c>
      <c r="V122" s="347">
        <f t="shared" si="738"/>
        <v>189.82918326693226</v>
      </c>
      <c r="W122" s="327">
        <f t="shared" si="739"/>
        <v>164942.72</v>
      </c>
      <c r="X122" s="330">
        <f t="shared" si="740"/>
        <v>827</v>
      </c>
      <c r="Y122" s="347">
        <f t="shared" si="741"/>
        <v>199.44706166868198</v>
      </c>
      <c r="Z122" s="327">
        <f t="shared" si="742"/>
        <v>197330.43</v>
      </c>
      <c r="AA122" s="330">
        <f t="shared" si="743"/>
        <v>1042</v>
      </c>
      <c r="AB122" s="347">
        <f t="shared" si="744"/>
        <v>189.3766122840691</v>
      </c>
      <c r="AC122" s="327">
        <f t="shared" si="745"/>
        <v>176992.66</v>
      </c>
      <c r="AD122" s="330">
        <f t="shared" si="746"/>
        <v>949</v>
      </c>
      <c r="AE122" s="347">
        <f t="shared" si="747"/>
        <v>186.50438356164383</v>
      </c>
      <c r="AF122" s="327">
        <f t="shared" si="748"/>
        <v>145207.76</v>
      </c>
      <c r="AG122" s="330">
        <f t="shared" si="749"/>
        <v>777</v>
      </c>
      <c r="AH122" s="347">
        <f t="shared" si="750"/>
        <v>186.88257400257402</v>
      </c>
      <c r="AI122" s="327">
        <f t="shared" si="751"/>
        <v>198297.66</v>
      </c>
      <c r="AJ122" s="330">
        <f t="shared" si="752"/>
        <v>1048</v>
      </c>
      <c r="AK122" s="347">
        <f t="shared" si="753"/>
        <v>189.21532442748091</v>
      </c>
      <c r="AL122" s="379"/>
      <c r="AM122" s="380"/>
      <c r="AN122" s="394"/>
      <c r="AO122" s="327">
        <f t="shared" si="754"/>
        <v>182421.6</v>
      </c>
      <c r="AP122" s="330">
        <f t="shared" si="755"/>
        <v>965</v>
      </c>
      <c r="AQ122" s="347">
        <f t="shared" si="756"/>
        <v>189.0379274611399</v>
      </c>
      <c r="AR122" s="327">
        <f t="shared" si="757"/>
        <v>193019.23</v>
      </c>
      <c r="AS122" s="330">
        <f t="shared" si="758"/>
        <v>1010</v>
      </c>
      <c r="AT122" s="347">
        <f t="shared" si="759"/>
        <v>191.10814851485151</v>
      </c>
      <c r="AU122" s="327">
        <f t="shared" si="760"/>
        <v>203398.27</v>
      </c>
      <c r="AV122" s="330">
        <f t="shared" si="761"/>
        <v>1150</v>
      </c>
      <c r="AW122" s="347">
        <f t="shared" si="762"/>
        <v>176.8680608695652</v>
      </c>
      <c r="AX122" s="327">
        <f t="shared" si="773"/>
        <v>175575.97</v>
      </c>
      <c r="AY122" s="330">
        <f t="shared" si="774"/>
        <v>936</v>
      </c>
      <c r="AZ122" s="347">
        <f t="shared" si="763"/>
        <v>187.58116452991453</v>
      </c>
      <c r="BA122" s="327">
        <f t="shared" si="764"/>
        <v>212596.68</v>
      </c>
      <c r="BB122" s="330">
        <f t="shared" si="765"/>
        <v>1103</v>
      </c>
      <c r="BC122" s="347">
        <f t="shared" si="775"/>
        <v>192.74404351767905</v>
      </c>
      <c r="BD122" s="327">
        <f t="shared" si="767"/>
        <v>205474</v>
      </c>
      <c r="BE122" s="330">
        <f t="shared" si="767"/>
        <v>1073</v>
      </c>
      <c r="BF122" s="347">
        <f t="shared" si="768"/>
        <v>191.49487418452935</v>
      </c>
      <c r="BG122" s="327">
        <f t="shared" si="781"/>
        <v>182433.26</v>
      </c>
      <c r="BH122" s="330">
        <f t="shared" si="782"/>
        <v>966.5</v>
      </c>
      <c r="BI122" s="347">
        <f t="shared" si="783"/>
        <v>188.75660631143302</v>
      </c>
      <c r="BJ122" s="327">
        <f t="shared" si="784"/>
        <v>147457.01999999999</v>
      </c>
      <c r="BK122" s="330">
        <f t="shared" si="785"/>
        <v>729</v>
      </c>
      <c r="BL122" s="347">
        <f t="shared" si="786"/>
        <v>176.8680608695652</v>
      </c>
      <c r="BM122" s="327">
        <f t="shared" si="787"/>
        <v>212596.68</v>
      </c>
      <c r="BN122" s="330">
        <f t="shared" si="788"/>
        <v>1150</v>
      </c>
      <c r="BO122" s="347">
        <f t="shared" si="789"/>
        <v>202.27300411522631</v>
      </c>
    </row>
    <row r="123" spans="1:163" hidden="1" outlineLevel="1" x14ac:dyDescent="0.25">
      <c r="A123" s="833">
        <v>9</v>
      </c>
      <c r="B123" s="326">
        <f t="shared" si="718"/>
        <v>154028.72</v>
      </c>
      <c r="C123" s="329">
        <f t="shared" si="719"/>
        <v>761</v>
      </c>
      <c r="D123" s="346">
        <f t="shared" si="720"/>
        <v>202.40304862023652</v>
      </c>
      <c r="E123" s="326">
        <f t="shared" si="721"/>
        <v>177407.24</v>
      </c>
      <c r="F123" s="329">
        <f t="shared" si="722"/>
        <v>918</v>
      </c>
      <c r="G123" s="346">
        <f t="shared" si="723"/>
        <v>193.25407407407405</v>
      </c>
      <c r="H123" s="326">
        <f t="shared" si="724"/>
        <v>175513.85</v>
      </c>
      <c r="I123" s="329">
        <f t="shared" si="725"/>
        <v>963</v>
      </c>
      <c r="J123" s="346">
        <f t="shared" si="726"/>
        <v>182.25737279335411</v>
      </c>
      <c r="K123" s="326">
        <f t="shared" si="727"/>
        <v>175662.61</v>
      </c>
      <c r="L123" s="329">
        <f t="shared" si="728"/>
        <v>975</v>
      </c>
      <c r="M123" s="346">
        <f t="shared" si="729"/>
        <v>180.16677948717947</v>
      </c>
      <c r="N123" s="326">
        <f t="shared" si="730"/>
        <v>216776.57</v>
      </c>
      <c r="O123" s="329">
        <f t="shared" si="731"/>
        <v>1157</v>
      </c>
      <c r="P123" s="346">
        <f t="shared" si="732"/>
        <v>187.36090751944684</v>
      </c>
      <c r="Q123" s="326">
        <f t="shared" si="733"/>
        <v>177912.24</v>
      </c>
      <c r="R123" s="329">
        <f t="shared" si="734"/>
        <v>962</v>
      </c>
      <c r="S123" s="346">
        <f t="shared" si="735"/>
        <v>184.9399584199584</v>
      </c>
      <c r="T123" s="326">
        <f t="shared" si="736"/>
        <v>195226.82</v>
      </c>
      <c r="U123" s="329">
        <f t="shared" si="737"/>
        <v>1026</v>
      </c>
      <c r="V123" s="346">
        <f t="shared" si="738"/>
        <v>190.27955165692009</v>
      </c>
      <c r="W123" s="326">
        <f t="shared" si="739"/>
        <v>183053.06</v>
      </c>
      <c r="X123" s="329">
        <f t="shared" si="740"/>
        <v>933</v>
      </c>
      <c r="Y123" s="346">
        <f t="shared" si="741"/>
        <v>196.19834941050374</v>
      </c>
      <c r="Z123" s="326">
        <f t="shared" si="742"/>
        <v>206241.01</v>
      </c>
      <c r="AA123" s="329">
        <f t="shared" si="743"/>
        <v>1090</v>
      </c>
      <c r="AB123" s="346">
        <f t="shared" si="744"/>
        <v>189.21193577981651</v>
      </c>
      <c r="AC123" s="326">
        <f t="shared" si="745"/>
        <v>180097.44</v>
      </c>
      <c r="AD123" s="329">
        <f t="shared" si="746"/>
        <v>977</v>
      </c>
      <c r="AE123" s="346">
        <f t="shared" si="747"/>
        <v>184.33719549641762</v>
      </c>
      <c r="AF123" s="326">
        <f t="shared" si="748"/>
        <v>159402.69</v>
      </c>
      <c r="AG123" s="329">
        <f t="shared" si="749"/>
        <v>855</v>
      </c>
      <c r="AH123" s="346">
        <f t="shared" si="750"/>
        <v>186.4358947368421</v>
      </c>
      <c r="AI123" s="326">
        <f t="shared" si="751"/>
        <v>203419.08</v>
      </c>
      <c r="AJ123" s="329">
        <f t="shared" si="752"/>
        <v>1076</v>
      </c>
      <c r="AK123" s="346">
        <f t="shared" si="753"/>
        <v>189.05118959107804</v>
      </c>
      <c r="AL123" s="379"/>
      <c r="AM123" s="380"/>
      <c r="AN123" s="394"/>
      <c r="AO123" s="326">
        <f t="shared" si="754"/>
        <v>191600.63</v>
      </c>
      <c r="AP123" s="329">
        <f t="shared" si="755"/>
        <v>1014</v>
      </c>
      <c r="AQ123" s="346">
        <f t="shared" si="756"/>
        <v>188.95525641025642</v>
      </c>
      <c r="AR123" s="326">
        <f t="shared" si="757"/>
        <v>197914.97</v>
      </c>
      <c r="AS123" s="329">
        <f t="shared" si="758"/>
        <v>1037</v>
      </c>
      <c r="AT123" s="346">
        <f t="shared" si="759"/>
        <v>190.8533944069431</v>
      </c>
      <c r="AU123" s="326">
        <f t="shared" si="760"/>
        <v>208549.11</v>
      </c>
      <c r="AV123" s="329">
        <f t="shared" si="761"/>
        <v>1180</v>
      </c>
      <c r="AW123" s="346">
        <f t="shared" si="762"/>
        <v>176.73653389830508</v>
      </c>
      <c r="AX123" s="326">
        <f t="shared" si="773"/>
        <v>185514.46</v>
      </c>
      <c r="AY123" s="329">
        <f t="shared" si="774"/>
        <v>984</v>
      </c>
      <c r="AZ123" s="346">
        <f t="shared" si="763"/>
        <v>188.53095528455285</v>
      </c>
      <c r="BA123" s="326">
        <f t="shared" si="764"/>
        <v>218688.45</v>
      </c>
      <c r="BB123" s="329">
        <f t="shared" si="765"/>
        <v>1134</v>
      </c>
      <c r="BC123" s="346">
        <f t="shared" si="775"/>
        <v>192.84695767195768</v>
      </c>
      <c r="BD123" s="326">
        <f t="shared" si="767"/>
        <v>215990</v>
      </c>
      <c r="BE123" s="329">
        <f t="shared" si="767"/>
        <v>1138</v>
      </c>
      <c r="BF123" s="346">
        <f t="shared" si="768"/>
        <v>189.79789103690686</v>
      </c>
      <c r="BG123" s="326">
        <f t="shared" si="781"/>
        <v>190475.39125000002</v>
      </c>
      <c r="BH123" s="329">
        <f t="shared" si="782"/>
        <v>1011.6875</v>
      </c>
      <c r="BI123" s="346">
        <f t="shared" si="783"/>
        <v>188.27492802866499</v>
      </c>
      <c r="BJ123" s="326">
        <f t="shared" si="784"/>
        <v>154028.72</v>
      </c>
      <c r="BK123" s="329">
        <f t="shared" si="785"/>
        <v>761</v>
      </c>
      <c r="BL123" s="346">
        <f t="shared" si="786"/>
        <v>176.73653389830508</v>
      </c>
      <c r="BM123" s="326">
        <f t="shared" si="787"/>
        <v>218688.45</v>
      </c>
      <c r="BN123" s="329">
        <f t="shared" si="788"/>
        <v>1180</v>
      </c>
      <c r="BO123" s="346">
        <f t="shared" si="789"/>
        <v>202.40304862023652</v>
      </c>
    </row>
    <row r="124" spans="1:163" hidden="1" outlineLevel="1" x14ac:dyDescent="0.25">
      <c r="A124" s="833">
        <v>10</v>
      </c>
      <c r="B124" s="327">
        <f t="shared" si="718"/>
        <v>174583.94</v>
      </c>
      <c r="C124" s="330">
        <f t="shared" si="719"/>
        <v>862</v>
      </c>
      <c r="D124" s="347">
        <f t="shared" si="720"/>
        <v>202.53357308584688</v>
      </c>
      <c r="E124" s="327">
        <f t="shared" si="721"/>
        <v>188362.45</v>
      </c>
      <c r="F124" s="330">
        <f t="shared" si="722"/>
        <v>976</v>
      </c>
      <c r="G124" s="347">
        <f t="shared" si="723"/>
        <v>192.99431352459018</v>
      </c>
      <c r="H124" s="327">
        <f t="shared" si="724"/>
        <v>184802.5</v>
      </c>
      <c r="I124" s="330">
        <f t="shared" si="725"/>
        <v>1015</v>
      </c>
      <c r="J124" s="347">
        <f t="shared" si="726"/>
        <v>182.07142857142858</v>
      </c>
      <c r="K124" s="327">
        <f t="shared" si="727"/>
        <v>186675.20000000001</v>
      </c>
      <c r="L124" s="330">
        <f t="shared" si="728"/>
        <v>1030</v>
      </c>
      <c r="M124" s="347">
        <f t="shared" si="729"/>
        <v>181.23805825242721</v>
      </c>
      <c r="N124" s="327">
        <f t="shared" si="730"/>
        <v>222996.66</v>
      </c>
      <c r="O124" s="330">
        <f t="shared" si="731"/>
        <v>1186</v>
      </c>
      <c r="P124" s="347">
        <f t="shared" si="732"/>
        <v>188.02416526138279</v>
      </c>
      <c r="Q124" s="327">
        <f t="shared" si="733"/>
        <v>186011.36</v>
      </c>
      <c r="R124" s="330">
        <f t="shared" si="734"/>
        <v>1010</v>
      </c>
      <c r="S124" s="347">
        <f t="shared" si="735"/>
        <v>184.16966336633661</v>
      </c>
      <c r="T124" s="327">
        <f t="shared" si="736"/>
        <v>200356.07</v>
      </c>
      <c r="U124" s="330">
        <f t="shared" si="737"/>
        <v>1052</v>
      </c>
      <c r="V124" s="347">
        <f t="shared" si="738"/>
        <v>190.45253802281368</v>
      </c>
      <c r="W124" s="327">
        <f t="shared" si="739"/>
        <v>189543.96</v>
      </c>
      <c r="X124" s="330">
        <f t="shared" si="740"/>
        <v>968</v>
      </c>
      <c r="Y124" s="347">
        <f t="shared" si="741"/>
        <v>195.80987603305783</v>
      </c>
      <c r="Z124" s="327">
        <f t="shared" si="742"/>
        <v>213388.47</v>
      </c>
      <c r="AA124" s="330">
        <f t="shared" si="743"/>
        <v>1125</v>
      </c>
      <c r="AB124" s="347">
        <f t="shared" si="744"/>
        <v>189.67864</v>
      </c>
      <c r="AC124" s="327">
        <f t="shared" si="745"/>
        <v>185585.9</v>
      </c>
      <c r="AD124" s="330">
        <f t="shared" si="746"/>
        <v>1012</v>
      </c>
      <c r="AE124" s="347">
        <f t="shared" si="747"/>
        <v>183.38527667984189</v>
      </c>
      <c r="AF124" s="327">
        <f t="shared" si="748"/>
        <v>169993.94</v>
      </c>
      <c r="AG124" s="330">
        <f t="shared" si="749"/>
        <v>920</v>
      </c>
      <c r="AH124" s="347">
        <f t="shared" si="750"/>
        <v>184.77602173913044</v>
      </c>
      <c r="AI124" s="327">
        <f t="shared" si="751"/>
        <v>211384.87</v>
      </c>
      <c r="AJ124" s="330">
        <f t="shared" si="752"/>
        <v>1109</v>
      </c>
      <c r="AK124" s="347">
        <f t="shared" si="753"/>
        <v>190.6085392245266</v>
      </c>
      <c r="AL124" s="379"/>
      <c r="AM124" s="380"/>
      <c r="AN124" s="394"/>
      <c r="AO124" s="327">
        <f t="shared" si="754"/>
        <v>199438.53</v>
      </c>
      <c r="AP124" s="330">
        <f t="shared" si="755"/>
        <v>1060</v>
      </c>
      <c r="AQ124" s="347">
        <f t="shared" si="756"/>
        <v>188.14955660377359</v>
      </c>
      <c r="AR124" s="327">
        <f t="shared" si="757"/>
        <v>208857.09</v>
      </c>
      <c r="AS124" s="330">
        <f t="shared" si="758"/>
        <v>1096</v>
      </c>
      <c r="AT124" s="347">
        <f t="shared" si="759"/>
        <v>190.56303832116788</v>
      </c>
      <c r="AU124" s="327">
        <f t="shared" si="760"/>
        <v>211665.27</v>
      </c>
      <c r="AV124" s="330">
        <f t="shared" si="761"/>
        <v>1201</v>
      </c>
      <c r="AW124" s="347">
        <f t="shared" si="762"/>
        <v>176.24085761865112</v>
      </c>
      <c r="AX124" s="327">
        <f t="shared" si="773"/>
        <v>187404.76</v>
      </c>
      <c r="AY124" s="330">
        <f t="shared" si="774"/>
        <v>994</v>
      </c>
      <c r="AZ124" s="347">
        <f t="shared" si="763"/>
        <v>188.5359758551308</v>
      </c>
      <c r="BA124" s="327">
        <f t="shared" si="764"/>
        <v>223037.17</v>
      </c>
      <c r="BB124" s="330">
        <f t="shared" si="765"/>
        <v>1156</v>
      </c>
      <c r="BC124" s="347">
        <f t="shared" si="775"/>
        <v>192.93872837370245</v>
      </c>
      <c r="BD124" s="327">
        <f t="shared" si="767"/>
        <v>223980</v>
      </c>
      <c r="BE124" s="330">
        <f t="shared" si="767"/>
        <v>1182</v>
      </c>
      <c r="BF124" s="347">
        <f t="shared" si="768"/>
        <v>189.49238578680203</v>
      </c>
      <c r="BG124" s="327">
        <f t="shared" si="781"/>
        <v>198380.88749999995</v>
      </c>
      <c r="BH124" s="330">
        <f t="shared" si="782"/>
        <v>1053.25</v>
      </c>
      <c r="BI124" s="347">
        <f t="shared" si="783"/>
        <v>188.35118680275335</v>
      </c>
      <c r="BJ124" s="327">
        <f t="shared" si="784"/>
        <v>174583.94</v>
      </c>
      <c r="BK124" s="330">
        <f t="shared" si="785"/>
        <v>862</v>
      </c>
      <c r="BL124" s="347">
        <f t="shared" si="786"/>
        <v>176.24085761865112</v>
      </c>
      <c r="BM124" s="327">
        <f t="shared" si="787"/>
        <v>223037.17</v>
      </c>
      <c r="BN124" s="330">
        <f t="shared" si="788"/>
        <v>1201</v>
      </c>
      <c r="BO124" s="347">
        <f t="shared" si="789"/>
        <v>202.53357308584688</v>
      </c>
    </row>
    <row r="125" spans="1:163" hidden="1" outlineLevel="1" x14ac:dyDescent="0.25">
      <c r="A125" s="833">
        <v>11</v>
      </c>
      <c r="B125" s="326">
        <f t="shared" si="718"/>
        <v>191806.33</v>
      </c>
      <c r="C125" s="329">
        <f t="shared" si="719"/>
        <v>953</v>
      </c>
      <c r="D125" s="346">
        <f t="shared" si="720"/>
        <v>201.26582371458551</v>
      </c>
      <c r="E125" s="326">
        <f t="shared" si="721"/>
        <v>192380.91</v>
      </c>
      <c r="F125" s="329">
        <f t="shared" si="722"/>
        <v>993</v>
      </c>
      <c r="G125" s="346">
        <f t="shared" si="723"/>
        <v>193.73706948640483</v>
      </c>
      <c r="H125" s="326">
        <f t="shared" si="724"/>
        <v>193170.6</v>
      </c>
      <c r="I125" s="329">
        <f t="shared" si="725"/>
        <v>1062</v>
      </c>
      <c r="J125" s="346">
        <f t="shared" si="726"/>
        <v>181.89322033898307</v>
      </c>
      <c r="K125" s="326">
        <f t="shared" si="727"/>
        <v>192143.28</v>
      </c>
      <c r="L125" s="329">
        <f t="shared" si="728"/>
        <v>1063</v>
      </c>
      <c r="M125" s="346">
        <f t="shared" si="729"/>
        <v>180.75567262464722</v>
      </c>
      <c r="N125" s="326">
        <f t="shared" si="730"/>
        <v>227384.33</v>
      </c>
      <c r="O125" s="329">
        <f t="shared" si="731"/>
        <v>1210</v>
      </c>
      <c r="P125" s="346">
        <f t="shared" si="732"/>
        <v>187.92093388429751</v>
      </c>
      <c r="Q125" s="326">
        <f t="shared" si="733"/>
        <v>194146.96</v>
      </c>
      <c r="R125" s="329">
        <f t="shared" si="734"/>
        <v>1057</v>
      </c>
      <c r="S125" s="346">
        <f t="shared" si="735"/>
        <v>183.67735099337747</v>
      </c>
      <c r="T125" s="326">
        <f t="shared" si="736"/>
        <v>204686.63</v>
      </c>
      <c r="U125" s="329">
        <f t="shared" si="737"/>
        <v>1084</v>
      </c>
      <c r="V125" s="346">
        <f t="shared" si="738"/>
        <v>188.82530442804429</v>
      </c>
      <c r="W125" s="326">
        <f t="shared" si="739"/>
        <v>192871.15</v>
      </c>
      <c r="X125" s="329">
        <f t="shared" si="740"/>
        <v>994</v>
      </c>
      <c r="Y125" s="346">
        <f t="shared" si="741"/>
        <v>194.03536217303824</v>
      </c>
      <c r="Z125" s="326">
        <f t="shared" si="742"/>
        <v>219406.79</v>
      </c>
      <c r="AA125" s="329">
        <f t="shared" si="743"/>
        <v>1157</v>
      </c>
      <c r="AB125" s="346">
        <f t="shared" si="744"/>
        <v>189.63421780466726</v>
      </c>
      <c r="AC125" s="326">
        <f t="shared" si="745"/>
        <v>195721.51</v>
      </c>
      <c r="AD125" s="329">
        <f t="shared" si="746"/>
        <v>1062</v>
      </c>
      <c r="AE125" s="346">
        <f t="shared" si="747"/>
        <v>184.29520715630886</v>
      </c>
      <c r="AF125" s="326">
        <f t="shared" si="748"/>
        <v>179413.08</v>
      </c>
      <c r="AG125" s="329">
        <f t="shared" si="749"/>
        <v>972</v>
      </c>
      <c r="AH125" s="346">
        <f t="shared" si="750"/>
        <v>184.58135802469135</v>
      </c>
      <c r="AI125" s="326">
        <f t="shared" si="751"/>
        <v>218653.35</v>
      </c>
      <c r="AJ125" s="329">
        <f t="shared" si="752"/>
        <v>1149</v>
      </c>
      <c r="AK125" s="346">
        <f t="shared" si="753"/>
        <v>190.29882506527414</v>
      </c>
      <c r="AL125" s="379"/>
      <c r="AM125" s="380"/>
      <c r="AN125" s="394"/>
      <c r="AO125" s="326">
        <f t="shared" si="754"/>
        <v>204133.54</v>
      </c>
      <c r="AP125" s="329">
        <f t="shared" si="755"/>
        <v>1083</v>
      </c>
      <c r="AQ125" s="346">
        <f t="shared" si="756"/>
        <v>188.48895660203141</v>
      </c>
      <c r="AR125" s="326">
        <f t="shared" si="757"/>
        <v>215752.9</v>
      </c>
      <c r="AS125" s="329">
        <f t="shared" si="758"/>
        <v>1133</v>
      </c>
      <c r="AT125" s="346">
        <f t="shared" si="759"/>
        <v>190.42621359223301</v>
      </c>
      <c r="AU125" s="326">
        <f t="shared" si="760"/>
        <v>223498.62</v>
      </c>
      <c r="AV125" s="329">
        <f t="shared" si="761"/>
        <v>1223</v>
      </c>
      <c r="AW125" s="346">
        <f t="shared" si="762"/>
        <v>182.74621422730988</v>
      </c>
      <c r="AX125" s="326">
        <f t="shared" si="773"/>
        <v>193002.09</v>
      </c>
      <c r="AY125" s="329">
        <f t="shared" si="774"/>
        <v>1027</v>
      </c>
      <c r="AZ125" s="346">
        <f t="shared" si="763"/>
        <v>187.92803310613436</v>
      </c>
      <c r="BA125" s="326">
        <f t="shared" si="764"/>
        <v>230169.15</v>
      </c>
      <c r="BB125" s="329">
        <f t="shared" si="765"/>
        <v>1185</v>
      </c>
      <c r="BC125" s="346">
        <f t="shared" si="775"/>
        <v>194.23556962025316</v>
      </c>
      <c r="BD125" s="326">
        <f t="shared" si="767"/>
        <v>229146</v>
      </c>
      <c r="BE125" s="329">
        <f t="shared" si="767"/>
        <v>1209</v>
      </c>
      <c r="BF125" s="346">
        <f t="shared" si="768"/>
        <v>189.53349875930522</v>
      </c>
      <c r="BG125" s="326">
        <f t="shared" si="781"/>
        <v>205558.00874999998</v>
      </c>
      <c r="BH125" s="329">
        <f t="shared" si="782"/>
        <v>1089.6875</v>
      </c>
      <c r="BI125" s="346">
        <f t="shared" si="783"/>
        <v>188.63941152853454</v>
      </c>
      <c r="BJ125" s="326">
        <f t="shared" si="784"/>
        <v>191806.33</v>
      </c>
      <c r="BK125" s="329">
        <f t="shared" si="785"/>
        <v>953</v>
      </c>
      <c r="BL125" s="346">
        <f t="shared" si="786"/>
        <v>180.75567262464722</v>
      </c>
      <c r="BM125" s="326">
        <f t="shared" si="787"/>
        <v>230169.15</v>
      </c>
      <c r="BN125" s="329">
        <f t="shared" si="788"/>
        <v>1223</v>
      </c>
      <c r="BO125" s="346">
        <f t="shared" si="789"/>
        <v>201.26582371458551</v>
      </c>
    </row>
    <row r="126" spans="1:163" hidden="1" outlineLevel="1" x14ac:dyDescent="0.25">
      <c r="A126" s="833">
        <v>12</v>
      </c>
      <c r="B126" s="327">
        <f t="shared" si="718"/>
        <v>204424.65</v>
      </c>
      <c r="C126" s="330">
        <f t="shared" si="719"/>
        <v>1034</v>
      </c>
      <c r="D126" s="347">
        <f t="shared" si="720"/>
        <v>197.70275628626692</v>
      </c>
      <c r="E126" s="327">
        <f t="shared" si="721"/>
        <v>199542.33</v>
      </c>
      <c r="F126" s="330">
        <f t="shared" si="722"/>
        <v>1035</v>
      </c>
      <c r="G126" s="347">
        <f t="shared" si="723"/>
        <v>192.79452173913043</v>
      </c>
      <c r="H126" s="327">
        <f t="shared" si="724"/>
        <v>197656.87</v>
      </c>
      <c r="I126" s="330">
        <f t="shared" si="725"/>
        <v>1087</v>
      </c>
      <c r="J126" s="347">
        <f t="shared" si="726"/>
        <v>181.83704691812326</v>
      </c>
      <c r="K126" s="327">
        <f t="shared" si="727"/>
        <v>207175.73</v>
      </c>
      <c r="L126" s="330">
        <f t="shared" si="728"/>
        <v>1136</v>
      </c>
      <c r="M126" s="347">
        <f t="shared" si="729"/>
        <v>182.3730017605634</v>
      </c>
      <c r="N126" s="327">
        <f t="shared" si="730"/>
        <v>231996.11</v>
      </c>
      <c r="O126" s="330">
        <f t="shared" si="731"/>
        <v>1237</v>
      </c>
      <c r="P126" s="347">
        <f t="shared" si="732"/>
        <v>187.54738075990298</v>
      </c>
      <c r="Q126" s="327">
        <f t="shared" si="733"/>
        <v>202422.16</v>
      </c>
      <c r="R126" s="330">
        <f t="shared" si="734"/>
        <v>1104</v>
      </c>
      <c r="S126" s="347">
        <f t="shared" si="735"/>
        <v>183.35340579710146</v>
      </c>
      <c r="T126" s="327">
        <f t="shared" si="736"/>
        <v>209650.28</v>
      </c>
      <c r="U126" s="330">
        <f t="shared" si="737"/>
        <v>1114</v>
      </c>
      <c r="V126" s="347">
        <f t="shared" si="738"/>
        <v>188.19594254937164</v>
      </c>
      <c r="W126" s="327">
        <f t="shared" si="739"/>
        <v>200097.73</v>
      </c>
      <c r="X126" s="330">
        <f t="shared" si="740"/>
        <v>1040</v>
      </c>
      <c r="Y126" s="347">
        <f t="shared" si="741"/>
        <v>192.40166346153848</v>
      </c>
      <c r="Z126" s="327">
        <f t="shared" si="742"/>
        <v>225314.85</v>
      </c>
      <c r="AA126" s="330">
        <f t="shared" si="743"/>
        <v>1192</v>
      </c>
      <c r="AB126" s="347">
        <f t="shared" si="744"/>
        <v>189.02252516778523</v>
      </c>
      <c r="AC126" s="327">
        <f t="shared" si="745"/>
        <v>206257.75</v>
      </c>
      <c r="AD126" s="330">
        <f t="shared" si="746"/>
        <v>1090</v>
      </c>
      <c r="AE126" s="347">
        <f t="shared" si="747"/>
        <v>189.22729357798164</v>
      </c>
      <c r="AF126" s="327">
        <f t="shared" si="748"/>
        <v>188873.07</v>
      </c>
      <c r="AG126" s="330">
        <f t="shared" si="749"/>
        <v>1018</v>
      </c>
      <c r="AH126" s="347">
        <f t="shared" si="750"/>
        <v>185.53346758349707</v>
      </c>
      <c r="AI126" s="327">
        <f t="shared" si="751"/>
        <v>224606.02</v>
      </c>
      <c r="AJ126" s="330">
        <f t="shared" si="752"/>
        <v>1183</v>
      </c>
      <c r="AK126" s="347">
        <f t="shared" si="753"/>
        <v>189.86138630600169</v>
      </c>
      <c r="AL126" s="379"/>
      <c r="AM126" s="380"/>
      <c r="AN126" s="394"/>
      <c r="AO126" s="327">
        <f t="shared" si="754"/>
        <v>209117.99</v>
      </c>
      <c r="AP126" s="330">
        <f t="shared" si="755"/>
        <v>1113</v>
      </c>
      <c r="AQ126" s="347">
        <f t="shared" si="756"/>
        <v>187.88678346810423</v>
      </c>
      <c r="AR126" s="327">
        <f t="shared" si="757"/>
        <v>223720.23</v>
      </c>
      <c r="AS126" s="330">
        <f t="shared" si="758"/>
        <v>1175</v>
      </c>
      <c r="AT126" s="347">
        <f t="shared" si="759"/>
        <v>190.40019574468087</v>
      </c>
      <c r="AU126" s="327">
        <f t="shared" si="760"/>
        <v>228017.22</v>
      </c>
      <c r="AV126" s="330">
        <f t="shared" si="761"/>
        <v>1245</v>
      </c>
      <c r="AW126" s="347">
        <f t="shared" si="762"/>
        <v>183.14636144578313</v>
      </c>
      <c r="AX126" s="327">
        <f t="shared" si="773"/>
        <v>197666.37</v>
      </c>
      <c r="AY126" s="330">
        <f t="shared" si="774"/>
        <v>1050</v>
      </c>
      <c r="AZ126" s="347">
        <f t="shared" si="763"/>
        <v>188.25368571428572</v>
      </c>
      <c r="BA126" s="327">
        <f t="shared" si="764"/>
        <v>234492.49</v>
      </c>
      <c r="BB126" s="330">
        <f t="shared" si="765"/>
        <v>1211</v>
      </c>
      <c r="BC126" s="347">
        <f t="shared" si="775"/>
        <v>193.63541701073493</v>
      </c>
      <c r="BD126" s="327">
        <f t="shared" si="767"/>
        <v>236347</v>
      </c>
      <c r="BE126" s="330">
        <f t="shared" si="767"/>
        <v>1245</v>
      </c>
      <c r="BF126" s="347">
        <f t="shared" si="768"/>
        <v>189.83694779116465</v>
      </c>
      <c r="BG126" s="327">
        <f t="shared" si="781"/>
        <v>212634.92375000002</v>
      </c>
      <c r="BH126" s="330">
        <f t="shared" si="782"/>
        <v>1127.875</v>
      </c>
      <c r="BI126" s="347">
        <f t="shared" si="783"/>
        <v>188.5270298127009</v>
      </c>
      <c r="BJ126" s="327">
        <f t="shared" si="784"/>
        <v>197656.87</v>
      </c>
      <c r="BK126" s="330">
        <f t="shared" si="785"/>
        <v>1034</v>
      </c>
      <c r="BL126" s="347">
        <f t="shared" si="786"/>
        <v>181.83704691812326</v>
      </c>
      <c r="BM126" s="327">
        <f t="shared" si="787"/>
        <v>234492.49</v>
      </c>
      <c r="BN126" s="330">
        <f t="shared" si="788"/>
        <v>1245</v>
      </c>
      <c r="BO126" s="347">
        <f t="shared" si="789"/>
        <v>197.70275628626692</v>
      </c>
    </row>
    <row r="127" spans="1:163" hidden="1" outlineLevel="1" x14ac:dyDescent="0.25">
      <c r="A127" s="833">
        <v>13</v>
      </c>
      <c r="B127" s="326">
        <f t="shared" si="718"/>
        <v>208393.1</v>
      </c>
      <c r="C127" s="329">
        <f t="shared" si="719"/>
        <v>1055</v>
      </c>
      <c r="D127" s="346">
        <f t="shared" si="720"/>
        <v>197.5290047393365</v>
      </c>
      <c r="E127" s="326">
        <f t="shared" si="721"/>
        <v>206277.58</v>
      </c>
      <c r="F127" s="329">
        <f t="shared" si="722"/>
        <v>1077</v>
      </c>
      <c r="G127" s="346">
        <f t="shared" si="723"/>
        <v>191.52978644382543</v>
      </c>
      <c r="H127" s="326">
        <f t="shared" si="724"/>
        <v>205401.11</v>
      </c>
      <c r="I127" s="329">
        <f t="shared" si="725"/>
        <v>1128</v>
      </c>
      <c r="J127" s="346">
        <f t="shared" si="726"/>
        <v>182.09318262411347</v>
      </c>
      <c r="K127" s="326">
        <f t="shared" si="727"/>
        <v>212399.25</v>
      </c>
      <c r="L127" s="329">
        <f t="shared" si="728"/>
        <v>1165</v>
      </c>
      <c r="M127" s="346">
        <f t="shared" si="729"/>
        <v>182.31695278969957</v>
      </c>
      <c r="N127" s="326">
        <f t="shared" si="730"/>
        <v>235625.4</v>
      </c>
      <c r="O127" s="329">
        <f t="shared" si="731"/>
        <v>1253</v>
      </c>
      <c r="P127" s="346">
        <f t="shared" si="732"/>
        <v>188.04900239425379</v>
      </c>
      <c r="Q127" s="326">
        <f t="shared" si="733"/>
        <v>209572.41</v>
      </c>
      <c r="R127" s="329">
        <f t="shared" si="734"/>
        <v>1143</v>
      </c>
      <c r="S127" s="346">
        <f t="shared" si="735"/>
        <v>183.35293963254594</v>
      </c>
      <c r="T127" s="326">
        <f t="shared" si="736"/>
        <v>219450.09</v>
      </c>
      <c r="U127" s="329">
        <f t="shared" si="737"/>
        <v>1162</v>
      </c>
      <c r="V127" s="346">
        <f t="shared" si="738"/>
        <v>188.8554991394148</v>
      </c>
      <c r="W127" s="326">
        <f t="shared" si="739"/>
        <v>206740</v>
      </c>
      <c r="X127" s="329">
        <f t="shared" si="740"/>
        <v>1080</v>
      </c>
      <c r="Y127" s="346">
        <f t="shared" si="741"/>
        <v>191.42592592592592</v>
      </c>
      <c r="Z127" s="326">
        <f t="shared" si="742"/>
        <v>229433.24</v>
      </c>
      <c r="AA127" s="329">
        <f t="shared" si="743"/>
        <v>1215</v>
      </c>
      <c r="AB127" s="346">
        <f t="shared" si="744"/>
        <v>188.83394238683127</v>
      </c>
      <c r="AC127" s="326">
        <f t="shared" si="745"/>
        <v>208411.06</v>
      </c>
      <c r="AD127" s="329">
        <f t="shared" si="746"/>
        <v>1097</v>
      </c>
      <c r="AE127" s="346">
        <f t="shared" si="747"/>
        <v>189.98273473108478</v>
      </c>
      <c r="AF127" s="326">
        <f t="shared" si="748"/>
        <v>197131.37</v>
      </c>
      <c r="AG127" s="329">
        <f t="shared" si="749"/>
        <v>1070</v>
      </c>
      <c r="AH127" s="346">
        <f t="shared" si="750"/>
        <v>184.23492523364484</v>
      </c>
      <c r="AI127" s="326">
        <f t="shared" si="751"/>
        <v>227915.25</v>
      </c>
      <c r="AJ127" s="329">
        <f t="shared" si="752"/>
        <v>1204</v>
      </c>
      <c r="AK127" s="346">
        <f t="shared" si="753"/>
        <v>189.2983803986711</v>
      </c>
      <c r="AL127" s="379"/>
      <c r="AM127" s="380"/>
      <c r="AN127" s="394"/>
      <c r="AO127" s="326">
        <f t="shared" si="754"/>
        <v>215874.38</v>
      </c>
      <c r="AP127" s="329">
        <f t="shared" si="755"/>
        <v>1148</v>
      </c>
      <c r="AQ127" s="346">
        <f t="shared" si="756"/>
        <v>188.04388501742162</v>
      </c>
      <c r="AR127" s="326">
        <f t="shared" si="757"/>
        <v>232348.23</v>
      </c>
      <c r="AS127" s="329">
        <f t="shared" si="758"/>
        <v>1223</v>
      </c>
      <c r="AT127" s="346">
        <f t="shared" si="759"/>
        <v>189.9821995094031</v>
      </c>
      <c r="AU127" s="326">
        <f t="shared" si="760"/>
        <v>232430.47</v>
      </c>
      <c r="AV127" s="329">
        <f t="shared" si="761"/>
        <v>1267</v>
      </c>
      <c r="AW127" s="346">
        <f t="shared" si="762"/>
        <v>183.44946329913182</v>
      </c>
      <c r="AX127" s="326">
        <f t="shared" si="773"/>
        <v>203173.37</v>
      </c>
      <c r="AY127" s="329">
        <f t="shared" si="774"/>
        <v>1080</v>
      </c>
      <c r="AZ127" s="346">
        <f t="shared" si="763"/>
        <v>188.12349074074075</v>
      </c>
      <c r="BA127" s="326">
        <f t="shared" si="764"/>
        <v>239110.89</v>
      </c>
      <c r="BB127" s="329">
        <f t="shared" si="765"/>
        <v>1237</v>
      </c>
      <c r="BC127" s="346">
        <f t="shared" si="775"/>
        <v>193.29902182700081</v>
      </c>
      <c r="BD127" s="326">
        <f t="shared" si="767"/>
        <v>240841</v>
      </c>
      <c r="BE127" s="329">
        <f t="shared" si="767"/>
        <v>1267</v>
      </c>
      <c r="BF127" s="346">
        <f t="shared" si="768"/>
        <v>190.08760852407261</v>
      </c>
      <c r="BG127" s="326">
        <f t="shared" si="781"/>
        <v>218284.739375</v>
      </c>
      <c r="BH127" s="329">
        <f t="shared" si="782"/>
        <v>1158.375</v>
      </c>
      <c r="BI127" s="346">
        <f t="shared" si="783"/>
        <v>188.44047857990719</v>
      </c>
      <c r="BJ127" s="326">
        <f t="shared" si="784"/>
        <v>203173.37</v>
      </c>
      <c r="BK127" s="329">
        <f t="shared" si="785"/>
        <v>1055</v>
      </c>
      <c r="BL127" s="346">
        <f t="shared" si="786"/>
        <v>182.09318262411347</v>
      </c>
      <c r="BM127" s="326">
        <f t="shared" si="787"/>
        <v>239110.89</v>
      </c>
      <c r="BN127" s="329">
        <f t="shared" si="788"/>
        <v>1267</v>
      </c>
      <c r="BO127" s="346">
        <f t="shared" si="789"/>
        <v>197.5290047393365</v>
      </c>
    </row>
    <row r="128" spans="1:163" hidden="1" outlineLevel="1" x14ac:dyDescent="0.25">
      <c r="A128" s="833">
        <v>14</v>
      </c>
      <c r="B128" s="327">
        <f t="shared" si="718"/>
        <v>213019.27</v>
      </c>
      <c r="C128" s="330">
        <f t="shared" si="719"/>
        <v>1098</v>
      </c>
      <c r="D128" s="347">
        <f t="shared" si="720"/>
        <v>194.00662112932605</v>
      </c>
      <c r="E128" s="327">
        <f t="shared" si="721"/>
        <v>215650.89</v>
      </c>
      <c r="F128" s="330">
        <f t="shared" si="722"/>
        <v>1124</v>
      </c>
      <c r="G128" s="347">
        <f t="shared" si="723"/>
        <v>191.86022241992885</v>
      </c>
      <c r="H128" s="327">
        <f t="shared" si="724"/>
        <v>209094.39</v>
      </c>
      <c r="I128" s="330">
        <f t="shared" si="725"/>
        <v>1147</v>
      </c>
      <c r="J128" s="347">
        <f t="shared" si="726"/>
        <v>182.2967654751526</v>
      </c>
      <c r="K128" s="327">
        <f t="shared" si="727"/>
        <v>220320.52</v>
      </c>
      <c r="L128" s="330">
        <f t="shared" si="728"/>
        <v>1205</v>
      </c>
      <c r="M128" s="347">
        <f t="shared" si="729"/>
        <v>182.83860580912861</v>
      </c>
      <c r="N128" s="327">
        <f t="shared" si="730"/>
        <v>241354.93</v>
      </c>
      <c r="O128" s="330">
        <f t="shared" si="731"/>
        <v>1281</v>
      </c>
      <c r="P128" s="347">
        <f t="shared" si="732"/>
        <v>188.41134270101483</v>
      </c>
      <c r="Q128" s="327">
        <f t="shared" si="733"/>
        <v>219690.6</v>
      </c>
      <c r="R128" s="330">
        <f t="shared" si="734"/>
        <v>1199</v>
      </c>
      <c r="S128" s="347">
        <f t="shared" si="735"/>
        <v>183.2281901584654</v>
      </c>
      <c r="T128" s="327">
        <f t="shared" si="736"/>
        <v>228588.96</v>
      </c>
      <c r="U128" s="330">
        <f t="shared" si="737"/>
        <v>1210</v>
      </c>
      <c r="V128" s="347">
        <f t="shared" si="738"/>
        <v>188.91649586776859</v>
      </c>
      <c r="W128" s="327">
        <f t="shared" si="739"/>
        <v>216912.3</v>
      </c>
      <c r="X128" s="330">
        <f t="shared" si="740"/>
        <v>1138</v>
      </c>
      <c r="Y128" s="347">
        <f t="shared" si="741"/>
        <v>190.60834797891036</v>
      </c>
      <c r="Z128" s="327">
        <f t="shared" si="742"/>
        <v>237507.69</v>
      </c>
      <c r="AA128" s="330">
        <f t="shared" si="743"/>
        <v>1265</v>
      </c>
      <c r="AB128" s="347">
        <f t="shared" si="744"/>
        <v>187.75311462450594</v>
      </c>
      <c r="AC128" s="327">
        <f t="shared" si="745"/>
        <v>214590.58</v>
      </c>
      <c r="AD128" s="330">
        <f t="shared" si="746"/>
        <v>1126</v>
      </c>
      <c r="AE128" s="347">
        <f t="shared" si="747"/>
        <v>190.57777975133214</v>
      </c>
      <c r="AF128" s="327">
        <f t="shared" si="748"/>
        <v>209692.11</v>
      </c>
      <c r="AG128" s="330">
        <f t="shared" si="749"/>
        <v>1136</v>
      </c>
      <c r="AH128" s="347">
        <f t="shared" si="750"/>
        <v>184.58812499999999</v>
      </c>
      <c r="AI128" s="327">
        <f t="shared" si="751"/>
        <v>232686.06</v>
      </c>
      <c r="AJ128" s="330">
        <f t="shared" si="752"/>
        <v>1230</v>
      </c>
      <c r="AK128" s="347">
        <f t="shared" si="753"/>
        <v>189.17565853658536</v>
      </c>
      <c r="AL128" s="379"/>
      <c r="AM128" s="380"/>
      <c r="AN128" s="394"/>
      <c r="AO128" s="327">
        <f t="shared" si="754"/>
        <v>225389.24</v>
      </c>
      <c r="AP128" s="330">
        <f t="shared" si="755"/>
        <v>1193</v>
      </c>
      <c r="AQ128" s="347">
        <f t="shared" si="756"/>
        <v>188.92643755238893</v>
      </c>
      <c r="AR128" s="327">
        <f t="shared" si="757"/>
        <v>243322.69</v>
      </c>
      <c r="AS128" s="330">
        <f t="shared" si="758"/>
        <v>1277</v>
      </c>
      <c r="AT128" s="347">
        <f t="shared" si="759"/>
        <v>190.54243539545811</v>
      </c>
      <c r="AU128" s="327">
        <f t="shared" si="760"/>
        <v>236967.52</v>
      </c>
      <c r="AV128" s="330">
        <f t="shared" si="761"/>
        <v>1289</v>
      </c>
      <c r="AW128" s="347">
        <f t="shared" si="762"/>
        <v>183.83826221877425</v>
      </c>
      <c r="AX128" s="327">
        <f t="shared" si="773"/>
        <v>214204.14</v>
      </c>
      <c r="AY128" s="330">
        <f t="shared" si="774"/>
        <v>1142</v>
      </c>
      <c r="AZ128" s="347">
        <f t="shared" si="763"/>
        <v>187.56929947460597</v>
      </c>
      <c r="BA128" s="327">
        <f t="shared" si="764"/>
        <v>246619.67</v>
      </c>
      <c r="BB128" s="330">
        <f t="shared" si="765"/>
        <v>1279</v>
      </c>
      <c r="BC128" s="347">
        <f t="shared" si="775"/>
        <v>192.82225957779517</v>
      </c>
      <c r="BD128" s="327">
        <f t="shared" si="767"/>
        <v>249899</v>
      </c>
      <c r="BE128" s="330">
        <f t="shared" si="767"/>
        <v>1314</v>
      </c>
      <c r="BF128" s="347">
        <f t="shared" si="768"/>
        <v>190.18188736681887</v>
      </c>
      <c r="BG128" s="327">
        <f t="shared" si="781"/>
        <v>225994.96562499998</v>
      </c>
      <c r="BH128" s="330">
        <f t="shared" si="782"/>
        <v>1200.1875</v>
      </c>
      <c r="BI128" s="347">
        <f t="shared" si="783"/>
        <v>188.2997161901786</v>
      </c>
      <c r="BJ128" s="327">
        <f t="shared" si="784"/>
        <v>209094.39</v>
      </c>
      <c r="BK128" s="330">
        <f t="shared" si="785"/>
        <v>1098</v>
      </c>
      <c r="BL128" s="347">
        <f t="shared" si="786"/>
        <v>182.2967654751526</v>
      </c>
      <c r="BM128" s="327">
        <f t="shared" si="787"/>
        <v>246619.67</v>
      </c>
      <c r="BN128" s="330">
        <f t="shared" si="788"/>
        <v>1289</v>
      </c>
      <c r="BO128" s="347">
        <f t="shared" si="789"/>
        <v>194.00662112932605</v>
      </c>
    </row>
    <row r="129" spans="1:163" hidden="1" outlineLevel="1" x14ac:dyDescent="0.25">
      <c r="A129" s="833">
        <v>15</v>
      </c>
      <c r="B129" s="326">
        <f t="shared" si="718"/>
        <v>223299.64</v>
      </c>
      <c r="C129" s="329">
        <f t="shared" si="719"/>
        <v>1146</v>
      </c>
      <c r="D129" s="346">
        <f t="shared" si="720"/>
        <v>194.85134380453752</v>
      </c>
      <c r="E129" s="326">
        <f t="shared" si="721"/>
        <v>225742.19</v>
      </c>
      <c r="F129" s="329">
        <f t="shared" si="722"/>
        <v>1177</v>
      </c>
      <c r="G129" s="346">
        <f t="shared" si="723"/>
        <v>191.79455395072219</v>
      </c>
      <c r="H129" s="326">
        <f t="shared" si="724"/>
        <v>213544.62</v>
      </c>
      <c r="I129" s="329">
        <f t="shared" si="725"/>
        <v>1175</v>
      </c>
      <c r="J129" s="346">
        <f t="shared" si="726"/>
        <v>181.74010212765958</v>
      </c>
      <c r="K129" s="326">
        <f t="shared" si="727"/>
        <v>226036.98</v>
      </c>
      <c r="L129" s="329">
        <f t="shared" si="728"/>
        <v>1231</v>
      </c>
      <c r="M129" s="346">
        <f t="shared" si="729"/>
        <v>183.62061738424046</v>
      </c>
      <c r="N129" s="326">
        <f t="shared" si="730"/>
        <v>257265.89</v>
      </c>
      <c r="O129" s="329">
        <f t="shared" si="731"/>
        <v>1366</v>
      </c>
      <c r="P129" s="346">
        <f t="shared" si="732"/>
        <v>188.33520497803806</v>
      </c>
      <c r="Q129" s="326">
        <f t="shared" si="733"/>
        <v>227180.25</v>
      </c>
      <c r="R129" s="329">
        <f t="shared" si="734"/>
        <v>1239</v>
      </c>
      <c r="S129" s="346">
        <f t="shared" si="735"/>
        <v>183.35774818401936</v>
      </c>
      <c r="T129" s="326">
        <f t="shared" si="736"/>
        <v>242030.55</v>
      </c>
      <c r="U129" s="329">
        <f t="shared" si="737"/>
        <v>1285</v>
      </c>
      <c r="V129" s="346">
        <f t="shared" si="738"/>
        <v>188.35062256809337</v>
      </c>
      <c r="W129" s="326">
        <f t="shared" si="739"/>
        <v>227638.64</v>
      </c>
      <c r="X129" s="329">
        <f t="shared" si="740"/>
        <v>1195</v>
      </c>
      <c r="Y129" s="346">
        <f t="shared" si="741"/>
        <v>190.4925857740586</v>
      </c>
      <c r="Z129" s="326">
        <f t="shared" si="742"/>
        <v>247796.51</v>
      </c>
      <c r="AA129" s="329">
        <f t="shared" si="743"/>
        <v>1318</v>
      </c>
      <c r="AB129" s="346">
        <f t="shared" si="744"/>
        <v>188.00949165402125</v>
      </c>
      <c r="AC129" s="326">
        <f t="shared" si="745"/>
        <v>225577.51</v>
      </c>
      <c r="AD129" s="329">
        <f t="shared" si="746"/>
        <v>1161</v>
      </c>
      <c r="AE129" s="346">
        <f t="shared" si="747"/>
        <v>194.29587424633937</v>
      </c>
      <c r="AF129" s="326">
        <f t="shared" si="748"/>
        <v>225145.08</v>
      </c>
      <c r="AG129" s="329">
        <f t="shared" si="749"/>
        <v>1186</v>
      </c>
      <c r="AH129" s="346">
        <f t="shared" si="750"/>
        <v>189.83564924114671</v>
      </c>
      <c r="AI129" s="326">
        <f t="shared" si="751"/>
        <v>237799.6</v>
      </c>
      <c r="AJ129" s="329">
        <f t="shared" si="752"/>
        <v>1259</v>
      </c>
      <c r="AK129" s="346">
        <f t="shared" si="753"/>
        <v>188.87974583002384</v>
      </c>
      <c r="AL129" s="379"/>
      <c r="AM129" s="380"/>
      <c r="AN129" s="394"/>
      <c r="AO129" s="326">
        <f t="shared" si="754"/>
        <v>237239.44</v>
      </c>
      <c r="AP129" s="329">
        <f t="shared" si="755"/>
        <v>1251</v>
      </c>
      <c r="AQ129" s="346">
        <f t="shared" si="756"/>
        <v>189.63984012789768</v>
      </c>
      <c r="AR129" s="326">
        <f t="shared" si="757"/>
        <v>254081.19</v>
      </c>
      <c r="AS129" s="329">
        <f t="shared" si="758"/>
        <v>1340</v>
      </c>
      <c r="AT129" s="346">
        <f t="shared" si="759"/>
        <v>189.61282835820896</v>
      </c>
      <c r="AU129" s="326">
        <f t="shared" si="760"/>
        <v>245319.67</v>
      </c>
      <c r="AV129" s="329">
        <f t="shared" si="761"/>
        <v>1320</v>
      </c>
      <c r="AW129" s="346">
        <f t="shared" si="762"/>
        <v>185.84823484848485</v>
      </c>
      <c r="AX129" s="326">
        <f t="shared" si="773"/>
        <v>238048.88</v>
      </c>
      <c r="AY129" s="329">
        <f t="shared" si="774"/>
        <v>1266</v>
      </c>
      <c r="AZ129" s="346">
        <f t="shared" si="763"/>
        <v>188.03229067930491</v>
      </c>
      <c r="BA129" s="326">
        <f t="shared" si="764"/>
        <v>250788.91</v>
      </c>
      <c r="BB129" s="329">
        <f t="shared" si="765"/>
        <v>1303</v>
      </c>
      <c r="BC129" s="346">
        <f t="shared" si="775"/>
        <v>192.47038372985418</v>
      </c>
      <c r="BD129" s="326">
        <f t="shared" si="767"/>
        <v>260287</v>
      </c>
      <c r="BE129" s="329">
        <f t="shared" si="767"/>
        <v>1376</v>
      </c>
      <c r="BF129" s="346">
        <f t="shared" si="768"/>
        <v>189.16206395348837</v>
      </c>
      <c r="BG129" s="326">
        <f t="shared" si="781"/>
        <v>236211.90437499998</v>
      </c>
      <c r="BH129" s="329">
        <f t="shared" si="782"/>
        <v>1252</v>
      </c>
      <c r="BI129" s="346">
        <f t="shared" si="783"/>
        <v>188.66765525159744</v>
      </c>
      <c r="BJ129" s="326">
        <f t="shared" si="784"/>
        <v>213544.62</v>
      </c>
      <c r="BK129" s="329">
        <f t="shared" si="785"/>
        <v>1146</v>
      </c>
      <c r="BL129" s="346">
        <f t="shared" si="786"/>
        <v>181.74010212765958</v>
      </c>
      <c r="BM129" s="326">
        <f t="shared" si="787"/>
        <v>257265.89</v>
      </c>
      <c r="BN129" s="329">
        <f t="shared" si="788"/>
        <v>1366</v>
      </c>
      <c r="BO129" s="346">
        <f t="shared" si="789"/>
        <v>194.85134380453752</v>
      </c>
    </row>
    <row r="130" spans="1:163" hidden="1" outlineLevel="1" x14ac:dyDescent="0.25">
      <c r="A130" s="833">
        <v>16</v>
      </c>
      <c r="B130" s="327">
        <f t="shared" si="718"/>
        <v>233668.44</v>
      </c>
      <c r="C130" s="330">
        <f t="shared" si="719"/>
        <v>1200</v>
      </c>
      <c r="D130" s="347">
        <f t="shared" si="720"/>
        <v>194.72370000000001</v>
      </c>
      <c r="E130" s="327">
        <f t="shared" si="721"/>
        <v>239606.43</v>
      </c>
      <c r="F130" s="330">
        <f t="shared" si="722"/>
        <v>1242</v>
      </c>
      <c r="G130" s="347">
        <f t="shared" si="723"/>
        <v>192.91983091787438</v>
      </c>
      <c r="H130" s="327">
        <f t="shared" si="724"/>
        <v>221954.31</v>
      </c>
      <c r="I130" s="330">
        <f t="shared" si="725"/>
        <v>1222</v>
      </c>
      <c r="J130" s="347">
        <f t="shared" si="726"/>
        <v>181.63200490998364</v>
      </c>
      <c r="K130" s="327">
        <f t="shared" si="727"/>
        <v>236308.26</v>
      </c>
      <c r="L130" s="330">
        <f t="shared" si="728"/>
        <v>1275</v>
      </c>
      <c r="M130" s="347">
        <f t="shared" si="729"/>
        <v>185.3398117647059</v>
      </c>
      <c r="N130" s="327">
        <f t="shared" si="730"/>
        <v>264085.84999999998</v>
      </c>
      <c r="O130" s="330">
        <f t="shared" si="731"/>
        <v>1404</v>
      </c>
      <c r="P130" s="347">
        <f t="shared" si="732"/>
        <v>188.09533475783473</v>
      </c>
      <c r="Q130" s="327">
        <f t="shared" si="733"/>
        <v>235086.85</v>
      </c>
      <c r="R130" s="330">
        <f t="shared" si="734"/>
        <v>1282</v>
      </c>
      <c r="S130" s="347">
        <f t="shared" si="735"/>
        <v>183.37507800312014</v>
      </c>
      <c r="T130" s="327">
        <f t="shared" si="736"/>
        <v>255116.01</v>
      </c>
      <c r="U130" s="330">
        <f t="shared" si="737"/>
        <v>1357</v>
      </c>
      <c r="V130" s="347">
        <f t="shared" si="738"/>
        <v>188.00000736919677</v>
      </c>
      <c r="W130" s="327">
        <f t="shared" si="739"/>
        <v>238165.16</v>
      </c>
      <c r="X130" s="330">
        <f t="shared" si="740"/>
        <v>1261</v>
      </c>
      <c r="Y130" s="347">
        <f t="shared" si="741"/>
        <v>188.87007137192705</v>
      </c>
      <c r="Z130" s="327">
        <f t="shared" si="742"/>
        <v>256435.53</v>
      </c>
      <c r="AA130" s="330">
        <f t="shared" si="743"/>
        <v>1364</v>
      </c>
      <c r="AB130" s="347">
        <f t="shared" si="744"/>
        <v>188.00258797653959</v>
      </c>
      <c r="AC130" s="327">
        <f t="shared" si="745"/>
        <v>235392.63</v>
      </c>
      <c r="AD130" s="330">
        <f t="shared" si="746"/>
        <v>1218</v>
      </c>
      <c r="AE130" s="347">
        <f t="shared" si="747"/>
        <v>193.26160098522169</v>
      </c>
      <c r="AF130" s="327">
        <f t="shared" si="748"/>
        <v>235392.58</v>
      </c>
      <c r="AG130" s="330">
        <f t="shared" si="749"/>
        <v>1237</v>
      </c>
      <c r="AH130" s="347">
        <f t="shared" si="750"/>
        <v>190.29311236863379</v>
      </c>
      <c r="AI130" s="327">
        <f t="shared" si="751"/>
        <v>241731.28</v>
      </c>
      <c r="AJ130" s="330">
        <f t="shared" si="752"/>
        <v>1276</v>
      </c>
      <c r="AK130" s="347">
        <f t="shared" si="753"/>
        <v>189.44457680250784</v>
      </c>
      <c r="AL130" s="379"/>
      <c r="AM130" s="380"/>
      <c r="AN130" s="394"/>
      <c r="AO130" s="327">
        <f t="shared" si="754"/>
        <v>246281.48</v>
      </c>
      <c r="AP130" s="330">
        <f t="shared" si="755"/>
        <v>1296</v>
      </c>
      <c r="AQ130" s="347">
        <f t="shared" si="756"/>
        <v>190.03200617283952</v>
      </c>
      <c r="AR130" s="327">
        <f t="shared" si="757"/>
        <v>261991.06</v>
      </c>
      <c r="AS130" s="330">
        <f t="shared" si="758"/>
        <v>1393</v>
      </c>
      <c r="AT130" s="347">
        <f t="shared" si="759"/>
        <v>188.07685570710697</v>
      </c>
      <c r="AU130" s="327">
        <f t="shared" si="760"/>
        <v>254461.02</v>
      </c>
      <c r="AV130" s="330">
        <f t="shared" si="761"/>
        <v>1363</v>
      </c>
      <c r="AW130" s="347">
        <f t="shared" si="762"/>
        <v>186.69187087307409</v>
      </c>
      <c r="AX130" s="327">
        <f t="shared" si="773"/>
        <v>254389.24</v>
      </c>
      <c r="AY130" s="330">
        <f t="shared" si="774"/>
        <v>1350</v>
      </c>
      <c r="AZ130" s="347">
        <f t="shared" si="763"/>
        <v>188.43647407407406</v>
      </c>
      <c r="BA130" s="327">
        <f t="shared" si="764"/>
        <v>260447.61</v>
      </c>
      <c r="BB130" s="330">
        <f t="shared" si="765"/>
        <v>1363</v>
      </c>
      <c r="BC130" s="347">
        <f t="shared" si="775"/>
        <v>191.0840865737344</v>
      </c>
      <c r="BD130" s="327">
        <f t="shared" si="767"/>
        <v>266188</v>
      </c>
      <c r="BE130" s="330">
        <f t="shared" si="767"/>
        <v>1410</v>
      </c>
      <c r="BF130" s="347">
        <f t="shared" si="768"/>
        <v>188.78581560283689</v>
      </c>
      <c r="BG130" s="327">
        <f t="shared" si="781"/>
        <v>245945.07249999998</v>
      </c>
      <c r="BH130" s="330">
        <f t="shared" si="782"/>
        <v>1304.125</v>
      </c>
      <c r="BI130" s="347">
        <f t="shared" si="783"/>
        <v>188.59010639317549</v>
      </c>
      <c r="BJ130" s="327">
        <f t="shared" si="784"/>
        <v>221954.31</v>
      </c>
      <c r="BK130" s="330">
        <f t="shared" si="785"/>
        <v>1200</v>
      </c>
      <c r="BL130" s="347">
        <f t="shared" si="786"/>
        <v>181.63200490998364</v>
      </c>
      <c r="BM130" s="327">
        <f t="shared" si="787"/>
        <v>264085.84999999998</v>
      </c>
      <c r="BN130" s="330">
        <f t="shared" si="788"/>
        <v>1404</v>
      </c>
      <c r="BO130" s="347">
        <f t="shared" si="789"/>
        <v>194.72370000000001</v>
      </c>
    </row>
    <row r="131" spans="1:163" hidden="1" outlineLevel="1" x14ac:dyDescent="0.25">
      <c r="A131" s="833">
        <v>17</v>
      </c>
      <c r="B131" s="326">
        <f t="shared" si="718"/>
        <v>243407.16</v>
      </c>
      <c r="C131" s="329">
        <f t="shared" si="719"/>
        <v>1248</v>
      </c>
      <c r="D131" s="346">
        <f t="shared" si="720"/>
        <v>195.03778846153847</v>
      </c>
      <c r="E131" s="326">
        <f t="shared" si="721"/>
        <v>253723.14</v>
      </c>
      <c r="F131" s="329">
        <f t="shared" si="722"/>
        <v>1314</v>
      </c>
      <c r="G131" s="346">
        <f t="shared" si="723"/>
        <v>193.09219178082193</v>
      </c>
      <c r="H131" s="326">
        <f t="shared" si="724"/>
        <v>240764.52</v>
      </c>
      <c r="I131" s="329">
        <f t="shared" si="725"/>
        <v>1340</v>
      </c>
      <c r="J131" s="346">
        <f t="shared" si="726"/>
        <v>179.67501492537312</v>
      </c>
      <c r="K131" s="326">
        <f t="shared" si="727"/>
        <v>245540.19</v>
      </c>
      <c r="L131" s="329">
        <f t="shared" si="728"/>
        <v>1326</v>
      </c>
      <c r="M131" s="346">
        <f t="shared" si="729"/>
        <v>185.17359728506787</v>
      </c>
      <c r="N131" s="326">
        <f t="shared" si="730"/>
        <v>270914.01</v>
      </c>
      <c r="O131" s="329">
        <f t="shared" si="731"/>
        <v>1440</v>
      </c>
      <c r="P131" s="346">
        <f t="shared" si="732"/>
        <v>188.13472916666666</v>
      </c>
      <c r="Q131" s="326">
        <f t="shared" si="733"/>
        <v>245330.95</v>
      </c>
      <c r="R131" s="329">
        <f t="shared" si="734"/>
        <v>1312</v>
      </c>
      <c r="S131" s="346">
        <f t="shared" si="735"/>
        <v>186.99005335365854</v>
      </c>
      <c r="T131" s="326">
        <f t="shared" si="736"/>
        <v>265334.95</v>
      </c>
      <c r="U131" s="329">
        <f t="shared" si="737"/>
        <v>1410</v>
      </c>
      <c r="V131" s="346">
        <f t="shared" si="738"/>
        <v>188.1808156028369</v>
      </c>
      <c r="W131" s="326">
        <f t="shared" si="739"/>
        <v>254125.99</v>
      </c>
      <c r="X131" s="329">
        <f t="shared" si="740"/>
        <v>1356</v>
      </c>
      <c r="Y131" s="346">
        <f t="shared" si="741"/>
        <v>187.4085471976401</v>
      </c>
      <c r="Z131" s="326">
        <f t="shared" si="742"/>
        <v>263654.45</v>
      </c>
      <c r="AA131" s="329">
        <f t="shared" si="743"/>
        <v>1406</v>
      </c>
      <c r="AB131" s="346">
        <f t="shared" si="744"/>
        <v>187.52094594594595</v>
      </c>
      <c r="AC131" s="326">
        <f t="shared" si="745"/>
        <v>239819.45</v>
      </c>
      <c r="AD131" s="329">
        <f t="shared" si="746"/>
        <v>1239</v>
      </c>
      <c r="AE131" s="346">
        <f t="shared" si="747"/>
        <v>193.55887812752221</v>
      </c>
      <c r="AF131" s="326">
        <f t="shared" si="748"/>
        <v>245506.25</v>
      </c>
      <c r="AG131" s="329">
        <f t="shared" si="749"/>
        <v>1289</v>
      </c>
      <c r="AH131" s="346">
        <f t="shared" si="750"/>
        <v>190.46256788207913</v>
      </c>
      <c r="AI131" s="326">
        <f t="shared" si="751"/>
        <v>251292.59</v>
      </c>
      <c r="AJ131" s="329">
        <f t="shared" si="752"/>
        <v>1320</v>
      </c>
      <c r="AK131" s="346">
        <f t="shared" si="753"/>
        <v>190.37317424242423</v>
      </c>
      <c r="AL131" s="379"/>
      <c r="AM131" s="380"/>
      <c r="AN131" s="394"/>
      <c r="AO131" s="326">
        <f t="shared" si="754"/>
        <v>252899.79</v>
      </c>
      <c r="AP131" s="329">
        <f t="shared" si="755"/>
        <v>1328</v>
      </c>
      <c r="AQ131" s="346">
        <f t="shared" si="756"/>
        <v>190.43658885542169</v>
      </c>
      <c r="AR131" s="326">
        <f t="shared" si="757"/>
        <v>269993.96000000002</v>
      </c>
      <c r="AS131" s="329">
        <f t="shared" si="758"/>
        <v>1439</v>
      </c>
      <c r="AT131" s="346">
        <f t="shared" si="759"/>
        <v>187.62610145934678</v>
      </c>
      <c r="AU131" s="326">
        <f t="shared" si="760"/>
        <v>261539.48</v>
      </c>
      <c r="AV131" s="329">
        <f t="shared" si="761"/>
        <v>1396</v>
      </c>
      <c r="AW131" s="346">
        <f t="shared" si="762"/>
        <v>187.34919770773641</v>
      </c>
      <c r="AX131" s="326">
        <f t="shared" si="773"/>
        <v>267215.32</v>
      </c>
      <c r="AY131" s="329">
        <f t="shared" si="774"/>
        <v>1418</v>
      </c>
      <c r="AZ131" s="346">
        <f t="shared" si="763"/>
        <v>188.4452186177715</v>
      </c>
      <c r="BA131" s="326">
        <f t="shared" si="764"/>
        <v>267521.32</v>
      </c>
      <c r="BB131" s="329">
        <f t="shared" si="765"/>
        <v>1406</v>
      </c>
      <c r="BC131" s="346">
        <f t="shared" si="775"/>
        <v>190.27120910384068</v>
      </c>
      <c r="BD131" s="326">
        <f t="shared" si="767"/>
        <v>272160</v>
      </c>
      <c r="BE131" s="329">
        <f t="shared" si="767"/>
        <v>1442</v>
      </c>
      <c r="BF131" s="346">
        <f t="shared" si="768"/>
        <v>188.73786407766991</v>
      </c>
      <c r="BG131" s="326">
        <f t="shared" si="781"/>
        <v>255817.32937499997</v>
      </c>
      <c r="BH131" s="329">
        <f t="shared" si="782"/>
        <v>1356.125</v>
      </c>
      <c r="BI131" s="346">
        <f t="shared" si="783"/>
        <v>188.63845838326111</v>
      </c>
      <c r="BJ131" s="326">
        <f t="shared" si="784"/>
        <v>239819.45</v>
      </c>
      <c r="BK131" s="329">
        <f t="shared" si="785"/>
        <v>1239</v>
      </c>
      <c r="BL131" s="346">
        <f t="shared" si="786"/>
        <v>179.67501492537312</v>
      </c>
      <c r="BM131" s="326">
        <f t="shared" si="787"/>
        <v>270914.01</v>
      </c>
      <c r="BN131" s="329">
        <f t="shared" si="788"/>
        <v>1440</v>
      </c>
      <c r="BO131" s="346">
        <f t="shared" si="789"/>
        <v>195.03778846153847</v>
      </c>
    </row>
    <row r="132" spans="1:163" hidden="1" outlineLevel="1" x14ac:dyDescent="0.25">
      <c r="A132" s="833">
        <v>18</v>
      </c>
      <c r="B132" s="327">
        <f t="shared" si="718"/>
        <v>257899.17</v>
      </c>
      <c r="C132" s="330">
        <f t="shared" si="719"/>
        <v>1339</v>
      </c>
      <c r="D132" s="347">
        <f t="shared" si="720"/>
        <v>192.60580283793877</v>
      </c>
      <c r="E132" s="327">
        <f t="shared" si="721"/>
        <v>267325.65999999997</v>
      </c>
      <c r="F132" s="330">
        <f t="shared" si="722"/>
        <v>1398</v>
      </c>
      <c r="G132" s="347">
        <f t="shared" si="723"/>
        <v>191.22007153075822</v>
      </c>
      <c r="H132" s="327">
        <f t="shared" si="724"/>
        <v>255019.13</v>
      </c>
      <c r="I132" s="330">
        <f t="shared" si="725"/>
        <v>1414</v>
      </c>
      <c r="J132" s="347">
        <f t="shared" si="726"/>
        <v>180.35299151343708</v>
      </c>
      <c r="K132" s="327">
        <f t="shared" si="727"/>
        <v>255058.7</v>
      </c>
      <c r="L132" s="330">
        <f t="shared" si="728"/>
        <v>1377</v>
      </c>
      <c r="M132" s="347">
        <f t="shared" si="729"/>
        <v>185.22781408859842</v>
      </c>
      <c r="N132" s="327">
        <f t="shared" si="730"/>
        <v>277552.23</v>
      </c>
      <c r="O132" s="330">
        <f t="shared" si="731"/>
        <v>1476</v>
      </c>
      <c r="P132" s="347">
        <f t="shared" si="732"/>
        <v>188.04351626016259</v>
      </c>
      <c r="Q132" s="327">
        <f t="shared" si="733"/>
        <v>256222.83</v>
      </c>
      <c r="R132" s="330">
        <f t="shared" si="734"/>
        <v>1368</v>
      </c>
      <c r="S132" s="347">
        <f t="shared" si="735"/>
        <v>187.29739035087718</v>
      </c>
      <c r="T132" s="327">
        <f t="shared" si="736"/>
        <v>274821.15000000002</v>
      </c>
      <c r="U132" s="330">
        <f t="shared" si="737"/>
        <v>1454</v>
      </c>
      <c r="V132" s="347">
        <f t="shared" si="738"/>
        <v>189.01041953232465</v>
      </c>
      <c r="W132" s="327">
        <f t="shared" si="739"/>
        <v>263665.55</v>
      </c>
      <c r="X132" s="330">
        <f t="shared" si="740"/>
        <v>1414</v>
      </c>
      <c r="Y132" s="347">
        <f t="shared" si="741"/>
        <v>186.46785714285713</v>
      </c>
      <c r="Z132" s="327">
        <f t="shared" si="742"/>
        <v>272934.61</v>
      </c>
      <c r="AA132" s="330">
        <f t="shared" si="743"/>
        <v>1453</v>
      </c>
      <c r="AB132" s="347">
        <f t="shared" si="744"/>
        <v>187.8421266345492</v>
      </c>
      <c r="AC132" s="327">
        <f t="shared" si="745"/>
        <v>253019.78</v>
      </c>
      <c r="AD132" s="330">
        <f t="shared" si="746"/>
        <v>1317</v>
      </c>
      <c r="AE132" s="347">
        <f t="shared" si="747"/>
        <v>192.11828397873956</v>
      </c>
      <c r="AF132" s="327">
        <f t="shared" si="748"/>
        <v>253911.07</v>
      </c>
      <c r="AG132" s="330">
        <f t="shared" si="749"/>
        <v>1339</v>
      </c>
      <c r="AH132" s="347">
        <f t="shared" si="750"/>
        <v>189.62738610903659</v>
      </c>
      <c r="AI132" s="327">
        <f t="shared" si="751"/>
        <v>261354.22</v>
      </c>
      <c r="AJ132" s="330">
        <f t="shared" si="752"/>
        <v>1361</v>
      </c>
      <c r="AK132" s="347">
        <f t="shared" si="753"/>
        <v>192.03102130786186</v>
      </c>
      <c r="AL132" s="379"/>
      <c r="AM132" s="380"/>
      <c r="AN132" s="394"/>
      <c r="AO132" s="327">
        <f t="shared" si="754"/>
        <v>262285.39</v>
      </c>
      <c r="AP132" s="330">
        <f t="shared" si="755"/>
        <v>1375</v>
      </c>
      <c r="AQ132" s="347">
        <f t="shared" si="756"/>
        <v>190.75301090909093</v>
      </c>
      <c r="AR132" s="327">
        <f t="shared" si="757"/>
        <v>279105.68</v>
      </c>
      <c r="AS132" s="330">
        <f t="shared" si="758"/>
        <v>1484</v>
      </c>
      <c r="AT132" s="347">
        <f t="shared" si="759"/>
        <v>188.07660377358491</v>
      </c>
      <c r="AU132" s="327">
        <f t="shared" si="760"/>
        <v>270231.48</v>
      </c>
      <c r="AV132" s="330">
        <f t="shared" si="761"/>
        <v>1436</v>
      </c>
      <c r="AW132" s="347">
        <f t="shared" si="762"/>
        <v>188.18348189415042</v>
      </c>
      <c r="AX132" s="327">
        <f t="shared" si="773"/>
        <v>277679.93</v>
      </c>
      <c r="AY132" s="330">
        <f t="shared" si="774"/>
        <v>1474</v>
      </c>
      <c r="AZ132" s="347">
        <f t="shared" si="763"/>
        <v>188.38529850746269</v>
      </c>
      <c r="BA132" s="327">
        <f t="shared" si="764"/>
        <v>276954.51</v>
      </c>
      <c r="BB132" s="330">
        <f t="shared" si="765"/>
        <v>1463</v>
      </c>
      <c r="BC132" s="347">
        <f t="shared" si="775"/>
        <v>189.30588516746411</v>
      </c>
      <c r="BD132" s="327">
        <f t="shared" si="767"/>
        <v>278792</v>
      </c>
      <c r="BE132" s="330">
        <f t="shared" si="767"/>
        <v>1481</v>
      </c>
      <c r="BF132" s="347">
        <f t="shared" si="768"/>
        <v>188.2457798784605</v>
      </c>
      <c r="BG132" s="327">
        <f t="shared" si="781"/>
        <v>266320.62625000003</v>
      </c>
      <c r="BH132" s="330">
        <f t="shared" si="782"/>
        <v>1412.6875</v>
      </c>
      <c r="BI132" s="347">
        <f t="shared" si="783"/>
        <v>188.52055125425829</v>
      </c>
      <c r="BJ132" s="327">
        <f t="shared" si="784"/>
        <v>253019.78</v>
      </c>
      <c r="BK132" s="330">
        <f t="shared" si="785"/>
        <v>1317</v>
      </c>
      <c r="BL132" s="347">
        <f t="shared" si="786"/>
        <v>180.35299151343708</v>
      </c>
      <c r="BM132" s="327">
        <f t="shared" si="787"/>
        <v>279105.68</v>
      </c>
      <c r="BN132" s="330">
        <f t="shared" si="788"/>
        <v>1484</v>
      </c>
      <c r="BO132" s="347">
        <f t="shared" si="789"/>
        <v>192.60580283793877</v>
      </c>
    </row>
    <row r="133" spans="1:163" hidden="1" outlineLevel="1" x14ac:dyDescent="0.25">
      <c r="A133" s="833">
        <v>19</v>
      </c>
      <c r="B133" s="326">
        <f t="shared" si="718"/>
        <v>274010.62</v>
      </c>
      <c r="C133" s="329">
        <f t="shared" si="719"/>
        <v>1430</v>
      </c>
      <c r="D133" s="346">
        <f t="shared" si="720"/>
        <v>191.61581818181818</v>
      </c>
      <c r="E133" s="326">
        <f t="shared" si="721"/>
        <v>286137.13</v>
      </c>
      <c r="F133" s="329">
        <f t="shared" si="722"/>
        <v>1498</v>
      </c>
      <c r="G133" s="346">
        <f t="shared" si="723"/>
        <v>191.01277036048063</v>
      </c>
      <c r="H133" s="326">
        <f t="shared" si="724"/>
        <v>280517.15999999997</v>
      </c>
      <c r="I133" s="329">
        <f t="shared" si="725"/>
        <v>1511</v>
      </c>
      <c r="J133" s="346">
        <f t="shared" si="726"/>
        <v>185.65000661813366</v>
      </c>
      <c r="K133" s="326">
        <f t="shared" si="727"/>
        <v>272957.02</v>
      </c>
      <c r="L133" s="329">
        <f t="shared" si="728"/>
        <v>1465</v>
      </c>
      <c r="M133" s="346">
        <f t="shared" si="729"/>
        <v>186.31878498293517</v>
      </c>
      <c r="N133" s="326">
        <f t="shared" si="730"/>
        <v>289941.84000000003</v>
      </c>
      <c r="O133" s="329">
        <f t="shared" si="731"/>
        <v>1543</v>
      </c>
      <c r="P133" s="346">
        <f t="shared" si="732"/>
        <v>187.90786779001945</v>
      </c>
      <c r="Q133" s="326">
        <f t="shared" si="733"/>
        <v>273383.59999999998</v>
      </c>
      <c r="R133" s="329">
        <f t="shared" si="734"/>
        <v>1459</v>
      </c>
      <c r="S133" s="346">
        <f t="shared" si="735"/>
        <v>187.37738176833446</v>
      </c>
      <c r="T133" s="326">
        <f t="shared" si="736"/>
        <v>289729.7</v>
      </c>
      <c r="U133" s="329">
        <f t="shared" si="737"/>
        <v>1540</v>
      </c>
      <c r="V133" s="346">
        <f t="shared" si="738"/>
        <v>188.13616883116885</v>
      </c>
      <c r="W133" s="326">
        <f t="shared" si="739"/>
        <v>277310.37</v>
      </c>
      <c r="X133" s="329">
        <f t="shared" si="740"/>
        <v>1495</v>
      </c>
      <c r="Y133" s="346">
        <f t="shared" si="741"/>
        <v>185.49188628762542</v>
      </c>
      <c r="Z133" s="326">
        <f t="shared" si="742"/>
        <v>285776.75</v>
      </c>
      <c r="AA133" s="329">
        <f t="shared" si="743"/>
        <v>1524</v>
      </c>
      <c r="AB133" s="346">
        <f t="shared" si="744"/>
        <v>187.51755249343833</v>
      </c>
      <c r="AC133" s="326">
        <f t="shared" si="745"/>
        <v>267492.08</v>
      </c>
      <c r="AD133" s="329">
        <f t="shared" si="746"/>
        <v>1402</v>
      </c>
      <c r="AE133" s="346">
        <f t="shared" si="747"/>
        <v>190.79320970042798</v>
      </c>
      <c r="AF133" s="326">
        <f t="shared" si="748"/>
        <v>278321.09999999998</v>
      </c>
      <c r="AG133" s="329">
        <f t="shared" si="749"/>
        <v>1468</v>
      </c>
      <c r="AH133" s="346">
        <f t="shared" si="750"/>
        <v>189.59202997275202</v>
      </c>
      <c r="AI133" s="326">
        <f t="shared" si="751"/>
        <v>282608.14</v>
      </c>
      <c r="AJ133" s="329">
        <f t="shared" si="752"/>
        <v>1485</v>
      </c>
      <c r="AK133" s="346">
        <f t="shared" si="753"/>
        <v>190.30851178451181</v>
      </c>
      <c r="AL133" s="379"/>
      <c r="AM133" s="380"/>
      <c r="AN133" s="394"/>
      <c r="AO133" s="326">
        <f t="shared" si="754"/>
        <v>279320</v>
      </c>
      <c r="AP133" s="329">
        <f t="shared" si="755"/>
        <v>1472</v>
      </c>
      <c r="AQ133" s="346">
        <f t="shared" si="756"/>
        <v>189.75543478260869</v>
      </c>
      <c r="AR133" s="326">
        <f t="shared" si="757"/>
        <v>288705.32</v>
      </c>
      <c r="AS133" s="329">
        <f t="shared" si="758"/>
        <v>1535</v>
      </c>
      <c r="AT133" s="346">
        <f t="shared" si="759"/>
        <v>188.08164169381109</v>
      </c>
      <c r="AU133" s="326">
        <f t="shared" si="760"/>
        <v>280050.74</v>
      </c>
      <c r="AV133" s="329">
        <f t="shared" si="761"/>
        <v>1485</v>
      </c>
      <c r="AW133" s="346">
        <f t="shared" si="762"/>
        <v>188.5863569023569</v>
      </c>
      <c r="AX133" s="326">
        <f t="shared" si="773"/>
        <v>286686.31</v>
      </c>
      <c r="AY133" s="329">
        <f t="shared" si="774"/>
        <v>1522</v>
      </c>
      <c r="AZ133" s="346">
        <f t="shared" si="763"/>
        <v>188.3615703022339</v>
      </c>
      <c r="BA133" s="326">
        <f t="shared" si="764"/>
        <v>282142.34000000003</v>
      </c>
      <c r="BB133" s="329">
        <f t="shared" si="765"/>
        <v>1496</v>
      </c>
      <c r="BC133" s="346">
        <f t="shared" si="775"/>
        <v>188.597820855615</v>
      </c>
      <c r="BD133" s="326">
        <f t="shared" si="767"/>
        <v>285261</v>
      </c>
      <c r="BE133" s="329">
        <f t="shared" si="767"/>
        <v>1516</v>
      </c>
      <c r="BF133" s="346">
        <f t="shared" si="768"/>
        <v>188.16688654353561</v>
      </c>
      <c r="BG133" s="326">
        <f t="shared" si="781"/>
        <v>281048.06999999995</v>
      </c>
      <c r="BH133" s="329">
        <f t="shared" si="782"/>
        <v>1491.375</v>
      </c>
      <c r="BI133" s="346">
        <f t="shared" si="783"/>
        <v>188.44896152879051</v>
      </c>
      <c r="BJ133" s="326">
        <f t="shared" si="784"/>
        <v>267492.08</v>
      </c>
      <c r="BK133" s="329">
        <f t="shared" si="785"/>
        <v>1402</v>
      </c>
      <c r="BL133" s="346">
        <f t="shared" si="786"/>
        <v>185.49188628762542</v>
      </c>
      <c r="BM133" s="326">
        <f t="shared" si="787"/>
        <v>289941.84000000003</v>
      </c>
      <c r="BN133" s="329">
        <f t="shared" si="788"/>
        <v>1543</v>
      </c>
      <c r="BO133" s="346">
        <f t="shared" si="789"/>
        <v>191.61581818181818</v>
      </c>
    </row>
    <row r="134" spans="1:163" hidden="1" outlineLevel="1" x14ac:dyDescent="0.25">
      <c r="A134" s="285">
        <v>20</v>
      </c>
      <c r="B134" s="328">
        <f t="shared" si="718"/>
        <v>301845</v>
      </c>
      <c r="C134" s="331">
        <f t="shared" si="719"/>
        <v>1607</v>
      </c>
      <c r="D134" s="348">
        <f t="shared" si="720"/>
        <v>187.83136278780336</v>
      </c>
      <c r="E134" s="328">
        <f t="shared" si="721"/>
        <v>301845</v>
      </c>
      <c r="F134" s="331">
        <f t="shared" si="722"/>
        <v>1607</v>
      </c>
      <c r="G134" s="348">
        <f t="shared" si="723"/>
        <v>187.83136278780336</v>
      </c>
      <c r="H134" s="328">
        <f t="shared" si="724"/>
        <v>301845</v>
      </c>
      <c r="I134" s="331">
        <f t="shared" si="725"/>
        <v>1607</v>
      </c>
      <c r="J134" s="348">
        <f t="shared" si="726"/>
        <v>187.83136278780336</v>
      </c>
      <c r="K134" s="328">
        <f t="shared" si="727"/>
        <v>301845</v>
      </c>
      <c r="L134" s="331">
        <f t="shared" si="728"/>
        <v>1607</v>
      </c>
      <c r="M134" s="348">
        <f t="shared" si="729"/>
        <v>187.83136278780336</v>
      </c>
      <c r="N134" s="328">
        <f t="shared" si="730"/>
        <v>301845</v>
      </c>
      <c r="O134" s="331">
        <f t="shared" si="731"/>
        <v>1607</v>
      </c>
      <c r="P134" s="348">
        <f t="shared" si="732"/>
        <v>187.83136278780336</v>
      </c>
      <c r="Q134" s="328">
        <f t="shared" si="733"/>
        <v>301845</v>
      </c>
      <c r="R134" s="331">
        <f t="shared" si="734"/>
        <v>1607</v>
      </c>
      <c r="S134" s="348">
        <f t="shared" si="735"/>
        <v>187.83136278780336</v>
      </c>
      <c r="T134" s="328">
        <f t="shared" si="736"/>
        <v>301845</v>
      </c>
      <c r="U134" s="331">
        <f t="shared" si="737"/>
        <v>1607</v>
      </c>
      <c r="V134" s="348">
        <f t="shared" si="738"/>
        <v>187.83136278780336</v>
      </c>
      <c r="W134" s="328">
        <f t="shared" si="739"/>
        <v>301845</v>
      </c>
      <c r="X134" s="331">
        <f t="shared" si="740"/>
        <v>1607</v>
      </c>
      <c r="Y134" s="348">
        <f t="shared" si="741"/>
        <v>187.83136278780336</v>
      </c>
      <c r="Z134" s="328">
        <f t="shared" si="742"/>
        <v>301845</v>
      </c>
      <c r="AA134" s="331">
        <f t="shared" si="743"/>
        <v>1607</v>
      </c>
      <c r="AB134" s="348">
        <f t="shared" si="744"/>
        <v>187.83136278780336</v>
      </c>
      <c r="AC134" s="328">
        <f t="shared" si="745"/>
        <v>301845</v>
      </c>
      <c r="AD134" s="331">
        <f t="shared" si="746"/>
        <v>1607</v>
      </c>
      <c r="AE134" s="348">
        <f t="shared" si="747"/>
        <v>187.83136278780336</v>
      </c>
      <c r="AF134" s="328">
        <f t="shared" si="748"/>
        <v>301845</v>
      </c>
      <c r="AG134" s="331">
        <f t="shared" si="749"/>
        <v>1607</v>
      </c>
      <c r="AH134" s="348">
        <f t="shared" si="750"/>
        <v>187.83136278780336</v>
      </c>
      <c r="AI134" s="328">
        <f t="shared" si="751"/>
        <v>301845</v>
      </c>
      <c r="AJ134" s="331">
        <f t="shared" si="752"/>
        <v>1607</v>
      </c>
      <c r="AK134" s="348">
        <f t="shared" si="753"/>
        <v>187.83136278780336</v>
      </c>
      <c r="AL134" s="379"/>
      <c r="AM134" s="380"/>
      <c r="AN134" s="394"/>
      <c r="AO134" s="328">
        <f t="shared" si="754"/>
        <v>301845</v>
      </c>
      <c r="AP134" s="331">
        <f t="shared" si="755"/>
        <v>1607</v>
      </c>
      <c r="AQ134" s="348">
        <f t="shared" si="756"/>
        <v>187.83136278780336</v>
      </c>
      <c r="AR134" s="328">
        <f t="shared" si="757"/>
        <v>301845</v>
      </c>
      <c r="AS134" s="331">
        <f t="shared" si="758"/>
        <v>1607</v>
      </c>
      <c r="AT134" s="348">
        <f t="shared" si="759"/>
        <v>187.83136278780336</v>
      </c>
      <c r="AU134" s="328">
        <f t="shared" si="760"/>
        <v>301845</v>
      </c>
      <c r="AV134" s="331">
        <f t="shared" si="761"/>
        <v>1607</v>
      </c>
      <c r="AW134" s="348">
        <f t="shared" si="762"/>
        <v>187.83136278780336</v>
      </c>
      <c r="AX134" s="328">
        <f t="shared" si="773"/>
        <v>301845</v>
      </c>
      <c r="AY134" s="331">
        <f t="shared" si="774"/>
        <v>1607</v>
      </c>
      <c r="AZ134" s="348">
        <f t="shared" si="763"/>
        <v>187.83136278780336</v>
      </c>
      <c r="BA134" s="328">
        <f t="shared" si="764"/>
        <v>301845</v>
      </c>
      <c r="BB134" s="331">
        <f t="shared" si="765"/>
        <v>1607</v>
      </c>
      <c r="BC134" s="348">
        <f t="shared" si="775"/>
        <v>187.83136278780336</v>
      </c>
      <c r="BD134" s="328">
        <f t="shared" si="767"/>
        <v>301845</v>
      </c>
      <c r="BE134" s="331">
        <f t="shared" si="767"/>
        <v>1607</v>
      </c>
      <c r="BF134" s="348">
        <f t="shared" si="768"/>
        <v>187.83136278780336</v>
      </c>
      <c r="BG134" s="328">
        <f t="shared" si="781"/>
        <v>301845</v>
      </c>
      <c r="BH134" s="331">
        <f t="shared" si="782"/>
        <v>1607</v>
      </c>
      <c r="BI134" s="348">
        <f t="shared" si="783"/>
        <v>187.83136278780336</v>
      </c>
      <c r="BJ134" s="328">
        <f t="shared" si="784"/>
        <v>301845</v>
      </c>
      <c r="BK134" s="331">
        <f t="shared" si="785"/>
        <v>1607</v>
      </c>
      <c r="BL134" s="348">
        <f t="shared" si="786"/>
        <v>187.83136278780336</v>
      </c>
      <c r="BM134" s="328">
        <f t="shared" si="787"/>
        <v>301845</v>
      </c>
      <c r="BN134" s="331">
        <f t="shared" si="788"/>
        <v>1607</v>
      </c>
      <c r="BO134" s="348">
        <f t="shared" si="789"/>
        <v>187.83136278780336</v>
      </c>
    </row>
    <row r="135" spans="1:163" hidden="1" outlineLevel="1" x14ac:dyDescent="0.25">
      <c r="A135" s="284">
        <v>21</v>
      </c>
      <c r="B135" s="326">
        <f t="shared" si="718"/>
        <v>344585.92</v>
      </c>
      <c r="C135" s="329">
        <f t="shared" si="719"/>
        <v>1859</v>
      </c>
      <c r="D135" s="346">
        <f t="shared" si="720"/>
        <v>185.36090371167293</v>
      </c>
      <c r="E135" s="326">
        <f t="shared" si="721"/>
        <v>395362.66</v>
      </c>
      <c r="F135" s="329">
        <f t="shared" si="722"/>
        <v>2109</v>
      </c>
      <c r="G135" s="346">
        <f t="shared" si="723"/>
        <v>187.46451398767186</v>
      </c>
      <c r="H135" s="326">
        <f t="shared" si="724"/>
        <v>342970.14</v>
      </c>
      <c r="I135" s="329">
        <f t="shared" si="725"/>
        <v>1811</v>
      </c>
      <c r="J135" s="346">
        <f t="shared" si="726"/>
        <v>189.38163445610161</v>
      </c>
      <c r="K135" s="326">
        <f t="shared" si="727"/>
        <v>343870.13</v>
      </c>
      <c r="L135" s="329">
        <f t="shared" si="728"/>
        <v>1815</v>
      </c>
      <c r="M135" s="346">
        <f t="shared" si="729"/>
        <v>189.46012672176309</v>
      </c>
      <c r="N135" s="326">
        <f t="shared" si="730"/>
        <v>326687.09000000003</v>
      </c>
      <c r="O135" s="329">
        <f t="shared" si="731"/>
        <v>1731</v>
      </c>
      <c r="P135" s="346">
        <f t="shared" si="732"/>
        <v>188.72737723859044</v>
      </c>
      <c r="Q135" s="326">
        <f t="shared" si="733"/>
        <v>356287.06</v>
      </c>
      <c r="R135" s="329">
        <f t="shared" si="734"/>
        <v>1875</v>
      </c>
      <c r="S135" s="346">
        <f t="shared" si="735"/>
        <v>190.01976533333334</v>
      </c>
      <c r="T135" s="326">
        <f t="shared" si="736"/>
        <v>339161.07</v>
      </c>
      <c r="U135" s="329">
        <f t="shared" si="737"/>
        <v>1816</v>
      </c>
      <c r="V135" s="346">
        <f t="shared" si="738"/>
        <v>186.76270374449339</v>
      </c>
      <c r="W135" s="326">
        <f t="shared" si="739"/>
        <v>348501.37</v>
      </c>
      <c r="X135" s="329">
        <f t="shared" si="740"/>
        <v>1858</v>
      </c>
      <c r="Y135" s="346">
        <f t="shared" si="741"/>
        <v>187.56801399354143</v>
      </c>
      <c r="Z135" s="326">
        <f t="shared" si="742"/>
        <v>331221.95</v>
      </c>
      <c r="AA135" s="329">
        <f t="shared" si="743"/>
        <v>1761</v>
      </c>
      <c r="AB135" s="346">
        <f t="shared" si="744"/>
        <v>188.087421919364</v>
      </c>
      <c r="AC135" s="326">
        <f t="shared" si="745"/>
        <v>363039.27</v>
      </c>
      <c r="AD135" s="329">
        <f t="shared" si="746"/>
        <v>1904</v>
      </c>
      <c r="AE135" s="346">
        <f t="shared" si="747"/>
        <v>190.6718855042017</v>
      </c>
      <c r="AF135" s="326">
        <f t="shared" si="748"/>
        <v>351096.15</v>
      </c>
      <c r="AG135" s="329">
        <f t="shared" si="749"/>
        <v>1853</v>
      </c>
      <c r="AH135" s="346">
        <f t="shared" si="750"/>
        <v>189.47444684295738</v>
      </c>
      <c r="AI135" s="326">
        <f t="shared" si="751"/>
        <v>331108.03999999998</v>
      </c>
      <c r="AJ135" s="329">
        <f t="shared" si="752"/>
        <v>1766</v>
      </c>
      <c r="AK135" s="346">
        <f t="shared" si="753"/>
        <v>187.49039637599094</v>
      </c>
      <c r="AL135" s="379"/>
      <c r="AM135" s="380"/>
      <c r="AN135" s="394"/>
      <c r="AO135" s="326">
        <f t="shared" si="754"/>
        <v>339862.43</v>
      </c>
      <c r="AP135" s="329">
        <f t="shared" si="755"/>
        <v>1813</v>
      </c>
      <c r="AQ135" s="346">
        <f t="shared" si="756"/>
        <v>187.45859349145064</v>
      </c>
      <c r="AR135" s="326">
        <f t="shared" si="757"/>
        <v>328398.53000000003</v>
      </c>
      <c r="AS135" s="329">
        <f t="shared" si="758"/>
        <v>1771</v>
      </c>
      <c r="AT135" s="346">
        <f t="shared" si="759"/>
        <v>185.43112930547716</v>
      </c>
      <c r="AU135" s="326">
        <f t="shared" si="760"/>
        <v>333643.28999999998</v>
      </c>
      <c r="AV135" s="329">
        <f t="shared" si="761"/>
        <v>1791</v>
      </c>
      <c r="AW135" s="346">
        <f t="shared" si="762"/>
        <v>186.28882747068675</v>
      </c>
      <c r="AX135" s="326">
        <f t="shared" si="773"/>
        <v>324225.5</v>
      </c>
      <c r="AY135" s="329">
        <f t="shared" si="774"/>
        <v>1742</v>
      </c>
      <c r="AZ135" s="346">
        <f t="shared" si="763"/>
        <v>186.12256027554534</v>
      </c>
      <c r="BA135" s="326">
        <f t="shared" si="764"/>
        <v>335545.44</v>
      </c>
      <c r="BB135" s="329">
        <f t="shared" si="765"/>
        <v>1779</v>
      </c>
      <c r="BC135" s="346">
        <f t="shared" si="775"/>
        <v>188.61463743676222</v>
      </c>
      <c r="BD135" s="326">
        <f t="shared" si="767"/>
        <v>331726.15999999997</v>
      </c>
      <c r="BE135" s="329">
        <f t="shared" si="767"/>
        <v>1770</v>
      </c>
      <c r="BF135" s="346">
        <f t="shared" si="768"/>
        <v>187.41590960451975</v>
      </c>
      <c r="BG135" s="326">
        <f t="shared" si="781"/>
        <v>342779.36812500004</v>
      </c>
      <c r="BH135" s="329">
        <f t="shared" si="782"/>
        <v>1825.0625</v>
      </c>
      <c r="BI135" s="346">
        <f t="shared" si="783"/>
        <v>187.8178791822198</v>
      </c>
      <c r="BJ135" s="326">
        <f t="shared" si="784"/>
        <v>324225.5</v>
      </c>
      <c r="BK135" s="329">
        <f t="shared" si="785"/>
        <v>1731</v>
      </c>
      <c r="BL135" s="346">
        <f t="shared" si="786"/>
        <v>185.36090371167293</v>
      </c>
      <c r="BM135" s="326">
        <f t="shared" si="787"/>
        <v>395362.66</v>
      </c>
      <c r="BN135" s="329">
        <f t="shared" si="788"/>
        <v>2109</v>
      </c>
      <c r="BO135" s="346">
        <f t="shared" si="789"/>
        <v>190.6718855042017</v>
      </c>
    </row>
    <row r="136" spans="1:163" hidden="1" outlineLevel="1" x14ac:dyDescent="0.25">
      <c r="A136" s="332" t="s">
        <v>232</v>
      </c>
      <c r="AL136" s="1005" t="s">
        <v>315</v>
      </c>
      <c r="AM136" s="1005"/>
      <c r="AN136" s="1005"/>
      <c r="AO136" s="991"/>
      <c r="AP136" s="991"/>
      <c r="AQ136" s="353"/>
      <c r="AR136" s="991"/>
      <c r="AS136" s="991"/>
      <c r="AT136" s="353"/>
      <c r="AU136" s="991"/>
      <c r="AV136" s="991"/>
      <c r="AW136" s="353"/>
      <c r="BJ136" s="579">
        <f>BG135-BJ135</f>
        <v>18553.868125000037</v>
      </c>
      <c r="BK136" s="580">
        <f>BH135-BK135</f>
        <v>94.0625</v>
      </c>
      <c r="BL136" s="581"/>
      <c r="BM136" s="579">
        <f>BG135-BM135</f>
        <v>-52583.291874999937</v>
      </c>
      <c r="BN136" s="580">
        <f>BH135-BN135</f>
        <v>-283.9375</v>
      </c>
    </row>
    <row r="137" spans="1:163" hidden="1" outlineLevel="1" x14ac:dyDescent="0.25">
      <c r="A137" s="234" t="s">
        <v>24</v>
      </c>
      <c r="B137" s="273" t="str">
        <f>Tabelle3[[#Headers],[Ned (€)]]</f>
        <v>Ned (€)</v>
      </c>
      <c r="C137" s="274" t="str">
        <f>C$8</f>
        <v>Ned (Backer)</v>
      </c>
      <c r="D137" s="337" t="str">
        <f t="shared" ref="D137:BF137" si="791">D$8</f>
        <v>Ned (€/B)</v>
      </c>
      <c r="E137" s="276" t="str">
        <f t="shared" si="791"/>
        <v>Werkzeuge (€)</v>
      </c>
      <c r="F137" s="277" t="str">
        <f t="shared" si="791"/>
        <v>Werkzeuge (Backer)</v>
      </c>
      <c r="G137" s="373" t="str">
        <f t="shared" si="791"/>
        <v>Werkz (€/B)</v>
      </c>
      <c r="H137" s="280" t="str">
        <f t="shared" si="791"/>
        <v>DSK Fasar (€)</v>
      </c>
      <c r="I137" s="281" t="str">
        <f t="shared" si="791"/>
        <v>DSK Fasar (Backer)</v>
      </c>
      <c r="J137" s="282" t="str">
        <f t="shared" si="791"/>
        <v>DSK Fasar (€/B)</v>
      </c>
      <c r="K137" s="273" t="str">
        <f t="shared" si="791"/>
        <v>Mythen (€)</v>
      </c>
      <c r="L137" s="274" t="str">
        <f t="shared" si="791"/>
        <v>Mythen (Backer)</v>
      </c>
      <c r="M137" s="274" t="str">
        <f t="shared" si="791"/>
        <v>Mythen (€/B)</v>
      </c>
      <c r="N137" s="278" t="str">
        <f t="shared" si="791"/>
        <v>SOK (€)</v>
      </c>
      <c r="O137" s="279" t="str">
        <f t="shared" si="791"/>
        <v>SOK (Backer)</v>
      </c>
      <c r="P137" s="279" t="str">
        <f t="shared" si="791"/>
        <v>SOK (€/B)</v>
      </c>
      <c r="Q137" s="275" t="str">
        <f t="shared" si="791"/>
        <v>RE (€)</v>
      </c>
      <c r="R137" s="275" t="str">
        <f t="shared" si="791"/>
        <v>RE (Backer)</v>
      </c>
      <c r="S137" s="275" t="str">
        <f t="shared" si="791"/>
        <v>RE (€/B)</v>
      </c>
      <c r="T137" s="275" t="str">
        <f t="shared" si="791"/>
        <v>DGG (€)</v>
      </c>
      <c r="U137" s="275" t="str">
        <f t="shared" si="791"/>
        <v>DGG (Backer)</v>
      </c>
      <c r="V137" s="275" t="str">
        <f t="shared" si="791"/>
        <v>DGG (€/B)</v>
      </c>
      <c r="W137" s="280" t="str">
        <f t="shared" si="791"/>
        <v>DSK SV (€)</v>
      </c>
      <c r="X137" s="281" t="str">
        <f t="shared" si="791"/>
        <v>DSK SV (Backer)</v>
      </c>
      <c r="Y137" s="282" t="str">
        <f t="shared" si="791"/>
        <v>DSK SV (€/B)</v>
      </c>
      <c r="Z137" s="278" t="str">
        <f t="shared" si="791"/>
        <v>WW (€)</v>
      </c>
      <c r="AA137" s="279" t="str">
        <f t="shared" si="791"/>
        <v>WW (Backer)</v>
      </c>
      <c r="AB137" s="279" t="str">
        <f t="shared" si="791"/>
        <v>WW (€/B)</v>
      </c>
      <c r="AC137" s="280" t="str">
        <f t="shared" si="791"/>
        <v>DSK R (€)</v>
      </c>
      <c r="AD137" s="281" t="str">
        <f t="shared" si="791"/>
        <v>DSK R (Backer)</v>
      </c>
      <c r="AE137" s="282" t="str">
        <f t="shared" si="791"/>
        <v>DSK R (€/B)</v>
      </c>
      <c r="AF137" s="275" t="str">
        <f t="shared" si="791"/>
        <v>Ära (€)</v>
      </c>
      <c r="AG137" s="275" t="str">
        <f t="shared" si="791"/>
        <v>Ära (Backer)</v>
      </c>
      <c r="AH137" s="275" t="str">
        <f t="shared" si="791"/>
        <v>Ära (€/B)</v>
      </c>
      <c r="AI137" s="275" t="str">
        <f t="shared" si="791"/>
        <v>Mosaik (€)</v>
      </c>
      <c r="AJ137" s="275" t="str">
        <f t="shared" si="791"/>
        <v>Mosaik (Backer)</v>
      </c>
      <c r="AK137" s="275" t="str">
        <f t="shared" si="791"/>
        <v>Mosaik (€/B)</v>
      </c>
      <c r="AL137" s="280" t="str">
        <f t="shared" si="791"/>
        <v>DSK ES (€)</v>
      </c>
      <c r="AM137" s="281" t="str">
        <f t="shared" si="791"/>
        <v>DSK ES (Backer)</v>
      </c>
      <c r="AN137" s="282" t="str">
        <f t="shared" si="791"/>
        <v>DSK ES (€/B)</v>
      </c>
      <c r="AO137" s="278" t="str">
        <f t="shared" si="791"/>
        <v>ES (€)</v>
      </c>
      <c r="AP137" s="279" t="str">
        <f t="shared" si="791"/>
        <v>ES (Backer)</v>
      </c>
      <c r="AQ137" s="389" t="str">
        <f t="shared" si="791"/>
        <v>ES (€/B)</v>
      </c>
      <c r="AR137" s="278" t="str">
        <f t="shared" si="791"/>
        <v>WF (€)</v>
      </c>
      <c r="AS137" s="279" t="str">
        <f t="shared" si="791"/>
        <v>WF(Backer)</v>
      </c>
      <c r="AT137" s="389" t="str">
        <f t="shared" si="791"/>
        <v>WF (€/B)</v>
      </c>
      <c r="AU137" s="653" t="str">
        <f t="shared" si="791"/>
        <v>AKM (€)</v>
      </c>
      <c r="AV137" s="274" t="str">
        <f t="shared" si="791"/>
        <v>AKM(Backer)</v>
      </c>
      <c r="AW137" s="274" t="str">
        <f t="shared" si="791"/>
        <v>AKM (€/B)</v>
      </c>
      <c r="AX137" s="275" t="str">
        <f t="shared" si="791"/>
        <v>Lex (€)</v>
      </c>
      <c r="AY137" s="275" t="str">
        <f t="shared" si="791"/>
        <v>Lex(Backer)</v>
      </c>
      <c r="AZ137" s="654" t="str">
        <f t="shared" si="791"/>
        <v>Lex(€/B)</v>
      </c>
      <c r="BA137" s="275" t="str">
        <f t="shared" si="791"/>
        <v>KA (€)</v>
      </c>
      <c r="BB137" s="275" t="str">
        <f t="shared" si="791"/>
        <v>KA (Backer)</v>
      </c>
      <c r="BC137" s="654" t="str">
        <f t="shared" si="791"/>
        <v>KA (€/B)</v>
      </c>
      <c r="BD137" s="805" t="str">
        <f t="shared" si="791"/>
        <v>MAR (€)</v>
      </c>
      <c r="BE137" s="805" t="str">
        <f t="shared" si="791"/>
        <v>MAR (Backer)</v>
      </c>
      <c r="BF137" s="806" t="str">
        <f t="shared" si="791"/>
        <v>MAR (€/B)</v>
      </c>
      <c r="BG137" s="1009" t="s">
        <v>202</v>
      </c>
      <c r="BH137" s="1009"/>
      <c r="BI137" s="1009"/>
      <c r="BJ137" s="1009"/>
      <c r="BK137" s="1009"/>
      <c r="BL137" s="1009"/>
      <c r="BM137" s="1009"/>
      <c r="BN137" s="1009"/>
      <c r="BO137" s="1009"/>
      <c r="CE137" s="167"/>
      <c r="CF137" s="166"/>
      <c r="CG137" s="166"/>
      <c r="CH137" s="166"/>
      <c r="CI137" s="166"/>
      <c r="CJ137" s="166"/>
      <c r="CK137" s="166"/>
      <c r="CL137" s="166"/>
      <c r="CM137" s="166"/>
      <c r="CN137" s="166"/>
      <c r="CO137" s="166"/>
      <c r="CP137" s="166"/>
      <c r="CQ137" s="166"/>
      <c r="CR137" s="166"/>
      <c r="CS137" s="166"/>
      <c r="CT137" s="166"/>
      <c r="CU137" s="166"/>
      <c r="CV137" s="166"/>
      <c r="CW137" s="166"/>
      <c r="CX137" s="166"/>
      <c r="CY137" s="166"/>
      <c r="CZ137" s="166"/>
      <c r="DA137" s="166"/>
      <c r="DB137" s="166"/>
      <c r="DC137" s="166"/>
      <c r="DD137" s="166"/>
      <c r="DE137" s="166"/>
      <c r="DF137" s="166"/>
      <c r="DG137" s="166"/>
      <c r="DH137" s="166"/>
      <c r="DI137" s="166"/>
      <c r="DJ137" s="166"/>
      <c r="DK137" s="166"/>
      <c r="DL137" s="166"/>
      <c r="DM137" s="166"/>
      <c r="DN137" s="166"/>
      <c r="DO137" s="166"/>
      <c r="DP137" s="166"/>
      <c r="DQ137" s="166"/>
      <c r="DR137" s="166"/>
      <c r="DS137" s="166"/>
      <c r="DT137" s="166"/>
      <c r="DU137" s="166"/>
      <c r="DV137" s="166"/>
      <c r="DW137" s="166"/>
      <c r="DX137" s="166"/>
      <c r="DY137" s="166"/>
      <c r="DZ137" s="166"/>
      <c r="EA137" s="166"/>
      <c r="EB137" s="166"/>
      <c r="EC137" s="166"/>
      <c r="ED137" s="166"/>
      <c r="EE137" s="166"/>
      <c r="EF137" s="166"/>
      <c r="EG137" s="166"/>
      <c r="EH137" s="166"/>
      <c r="EI137" s="166"/>
      <c r="EJ137" s="166"/>
      <c r="EK137" s="166"/>
      <c r="EL137" s="166"/>
      <c r="FB137" s="166"/>
      <c r="FC137" s="166"/>
      <c r="FD137" s="166"/>
      <c r="FE137" s="166"/>
      <c r="FF137" s="166"/>
      <c r="FG137" s="166"/>
    </row>
    <row r="138" spans="1:163" hidden="1" outlineLevel="1" x14ac:dyDescent="0.25">
      <c r="A138" s="333">
        <v>1</v>
      </c>
      <c r="B138" s="326">
        <f t="shared" ref="B138:B158" si="792">$BD115-B115</f>
        <v>54927.47</v>
      </c>
      <c r="C138" s="329">
        <f t="shared" ref="C138:C158" si="793">$BE115-C115</f>
        <v>332</v>
      </c>
      <c r="D138" s="355">
        <f t="shared" ref="D138:D158" si="794">$BF115-D115</f>
        <v>-19.90857640620743</v>
      </c>
      <c r="E138" s="326">
        <f t="shared" ref="E138:E158" si="795">$BD115-E115</f>
        <v>35963.039999999994</v>
      </c>
      <c r="F138" s="329">
        <f t="shared" ref="F138:F158" si="796">$BE115-F115</f>
        <v>224</v>
      </c>
      <c r="G138" s="355">
        <f t="shared" ref="G138:G158" si="797">$BF115-G115</f>
        <v>-12.722413235877013</v>
      </c>
      <c r="H138" s="326">
        <f t="shared" ref="H138:H158" si="798">$BD115-H115</f>
        <v>35635.06</v>
      </c>
      <c r="I138" s="329">
        <f t="shared" ref="I138:I158" si="799">$BE115-I115</f>
        <v>186</v>
      </c>
      <c r="J138" s="355">
        <f t="shared" ref="J138:J158" si="800">$BF115-J115</f>
        <v>0.93367532858897562</v>
      </c>
      <c r="K138" s="326">
        <f t="shared" ref="K138:K158" si="801">$BD115-K115</f>
        <v>61627.380000000005</v>
      </c>
      <c r="L138" s="329">
        <f t="shared" ref="L138:L158" si="802">$BE115-L115</f>
        <v>303</v>
      </c>
      <c r="M138" s="355">
        <f t="shared" ref="M138:M158" si="803">$BF115-M115</f>
        <v>10.460685437660572</v>
      </c>
      <c r="N138" s="326">
        <f t="shared" ref="N138:N158" si="804">$BD115-N115</f>
        <v>13949.490000000005</v>
      </c>
      <c r="O138" s="329">
        <f t="shared" ref="O138:O158" si="805">$BE115-O115</f>
        <v>73</v>
      </c>
      <c r="P138" s="355">
        <f t="shared" ref="P138:P158" si="806">$BF115-P115</f>
        <v>0.24687151824664966</v>
      </c>
      <c r="Q138" s="326">
        <f t="shared" ref="Q138:Q158" si="807">$BD115-Q115</f>
        <v>60872.270000000004</v>
      </c>
      <c r="R138" s="329">
        <f t="shared" ref="R138:R158" si="808">$BE115-R115</f>
        <v>337</v>
      </c>
      <c r="S138" s="355">
        <f t="shared" ref="S138:S158" si="809">$BF115-S115</f>
        <v>-7.2121944044317274</v>
      </c>
      <c r="T138" s="326">
        <f t="shared" ref="T138:T158" si="810">$BD115-T115</f>
        <v>24506.940000000002</v>
      </c>
      <c r="U138" s="329">
        <f t="shared" ref="U138:U158" si="811">$BE115-U115</f>
        <v>133</v>
      </c>
      <c r="V138" s="355">
        <f t="shared" ref="V138:V158" si="812">$BF115-V115</f>
        <v>-1.043266943291826</v>
      </c>
      <c r="W138" s="326">
        <f t="shared" ref="W138:W158" si="813">$BD115-W115</f>
        <v>55658.81</v>
      </c>
      <c r="X138" s="329">
        <f t="shared" ref="X138:X158" si="814">$BE115-X115</f>
        <v>331</v>
      </c>
      <c r="Y138" s="355">
        <f t="shared" ref="Y138:Y158" si="815">$BF115-Y115</f>
        <v>-17.510261841251008</v>
      </c>
      <c r="Z138" s="326">
        <f t="shared" ref="Z138:Z158" si="816">$BD115-Z115</f>
        <v>37352</v>
      </c>
      <c r="AA138" s="329">
        <f t="shared" ref="AA138:AA158" si="817">$BE115-AA115</f>
        <v>210</v>
      </c>
      <c r="AB138" s="355">
        <f t="shared" ref="AB138:AB158" si="818">$BF115-AB115</f>
        <v>-4.5127757152216645</v>
      </c>
      <c r="AC138" s="326">
        <f t="shared" ref="AC138:AC158" si="819">$BD115-AC115</f>
        <v>52869.06</v>
      </c>
      <c r="AD138" s="329">
        <f t="shared" ref="AD138:AD158" si="820">$BE115-AD115</f>
        <v>249</v>
      </c>
      <c r="AE138" s="355">
        <f t="shared" ref="AE138:AE158" si="821">$BF115-AE115</f>
        <v>12.310690862615331</v>
      </c>
      <c r="AF138" s="326">
        <f t="shared" ref="AF138:AF158" si="822">$BD115-AF115</f>
        <v>80785.72</v>
      </c>
      <c r="AG138" s="329">
        <f t="shared" ref="AG138:AG158" si="823">$BE115-AG115</f>
        <v>429</v>
      </c>
      <c r="AH138" s="355">
        <f t="shared" ref="AH138:AH158" si="824">$BF115-AH115</f>
        <v>-0.84491320179523655</v>
      </c>
      <c r="AI138" s="326">
        <f t="shared" ref="AI138:AI158" si="825">$BD115-AI115</f>
        <v>34297.070000000007</v>
      </c>
      <c r="AJ138" s="329">
        <f t="shared" ref="AJ138:AJ158" si="826">$BE115-AJ115</f>
        <v>193</v>
      </c>
      <c r="AK138" s="355">
        <f t="shared" ref="AK138:AK158" si="827">$BF115-AK115</f>
        <v>-4.0732858112163512</v>
      </c>
      <c r="AL138" s="379"/>
      <c r="AM138" s="380"/>
      <c r="AN138" s="394"/>
      <c r="AO138" s="326">
        <f t="shared" ref="AO138:AO158" si="828">$BD115-AO115</f>
        <v>38972.539999999994</v>
      </c>
      <c r="AP138" s="329">
        <f t="shared" ref="AP138:AP158" si="829">$BE115-AP115</f>
        <v>234</v>
      </c>
      <c r="AQ138" s="355">
        <f t="shared" ref="AQ138:AQ158" si="830">$BF115-AQ115</f>
        <v>-10.69098473470288</v>
      </c>
      <c r="AR138" s="326">
        <f t="shared" ref="AR138:AR158" si="831">$BD115-AR115</f>
        <v>23903.539999999994</v>
      </c>
      <c r="AS138" s="329">
        <f t="shared" ref="AS138:AS158" si="832">$BE115-AS115</f>
        <v>146</v>
      </c>
      <c r="AT138" s="355">
        <f t="shared" ref="AT138:AT158" si="833">$BF115-AT115</f>
        <v>-6.3682964060301401</v>
      </c>
      <c r="AU138" s="326">
        <f t="shared" ref="AU138:AU158" si="834">$BD115-AU115</f>
        <v>27395.309999999998</v>
      </c>
      <c r="AV138" s="329">
        <f t="shared" ref="AV138:AV158" si="835">$BE115-AV115</f>
        <v>102</v>
      </c>
      <c r="AW138" s="355">
        <f t="shared" ref="AW138:AW158" si="836">$BF115-AW115</f>
        <v>13.08929988440542</v>
      </c>
      <c r="AX138" s="379"/>
      <c r="AY138" s="380"/>
      <c r="AZ138" s="753"/>
      <c r="BA138" s="326">
        <f t="shared" ref="BA138:BA158" si="837">$BD115-BA115</f>
        <v>16241.570000000007</v>
      </c>
      <c r="BB138" s="329">
        <f t="shared" ref="BB138:BB158" si="838">$BE115-BB115</f>
        <v>119</v>
      </c>
      <c r="BC138" s="355">
        <f t="shared" ref="BC138:BC158" si="839">$BF115-BC115</f>
        <v>-10.325210651901102</v>
      </c>
      <c r="BD138" s="326"/>
      <c r="BE138" s="329"/>
      <c r="BF138" s="329"/>
      <c r="BG138" s="710">
        <f>AVERAGE(B138,E138,H138,K138,N138,Q138,T138,W138,Z138,AC138,AI138,AO138,AR138,AU138,BA138)</f>
        <v>38278.10333333334</v>
      </c>
      <c r="BH138" s="711">
        <f t="shared" ref="BH138:BI138" si="840">AVERAGE(C138,F138,I138,L138,O138,R138,U138,X138,AA138,AD138,AJ138,AP138,AS138,AV138,BB138)</f>
        <v>211.46666666666667</v>
      </c>
      <c r="BI138" s="807">
        <f t="shared" si="840"/>
        <v>-3.8217362079076129</v>
      </c>
      <c r="BJ138" s="710">
        <f>MIN(B138,E138,H138,K138,N138,Q138,T138,W138,Z138,AC138,AI138,AO138,AR138,AU138,BA138)</f>
        <v>13949.490000000005</v>
      </c>
      <c r="BK138" s="711">
        <f t="shared" ref="BK138" si="841">MIN(C138,F138,I138,L138,O138,R138,U138,X138,AA138,AD138,AJ138,AP138,AS138,AV138,BB138)</f>
        <v>73</v>
      </c>
      <c r="BL138" s="807">
        <f t="shared" ref="BL138" si="842">MIN(D138,G138,J138,M138,P138,S138,V138,Y138,AB138,AE138,AK138,AQ138,AT138,AW138)</f>
        <v>-19.90857640620743</v>
      </c>
      <c r="BM138" s="710">
        <f>MAX(B138,E138,H138,K138,N138,Q138,T138,W138,Z138,AC138,AI138,AO138,AR138,AU138,BA138)</f>
        <v>61627.380000000005</v>
      </c>
      <c r="BN138" s="711">
        <f t="shared" ref="BN138" si="843">MAX(C138,F138,I138,L138,O138,R138,U138,X138,AA138,AD138,AJ138,AP138,AS138,AV138,BB138)</f>
        <v>337</v>
      </c>
      <c r="BO138" s="807">
        <f t="shared" ref="BO138" si="844">MAX(D138,G138,J138,M138,P138,S138,V138,Y138,AB138,AE138,AK138,AQ138,AT138,AW138)</f>
        <v>13.08929988440542</v>
      </c>
    </row>
    <row r="139" spans="1:163" hidden="1" outlineLevel="1" x14ac:dyDescent="0.25">
      <c r="A139" s="333">
        <v>2</v>
      </c>
      <c r="B139" s="326">
        <f t="shared" si="792"/>
        <v>62968</v>
      </c>
      <c r="C139" s="329">
        <f t="shared" si="793"/>
        <v>388</v>
      </c>
      <c r="D139" s="355">
        <f t="shared" si="794"/>
        <v>-22.8825433201213</v>
      </c>
      <c r="E139" s="326">
        <f t="shared" si="795"/>
        <v>40925.490000000005</v>
      </c>
      <c r="F139" s="329">
        <f t="shared" si="796"/>
        <v>252</v>
      </c>
      <c r="G139" s="355">
        <f t="shared" si="797"/>
        <v>-11.296709468482192</v>
      </c>
      <c r="H139" s="326">
        <f t="shared" si="798"/>
        <v>37342.080000000002</v>
      </c>
      <c r="I139" s="329">
        <f t="shared" si="799"/>
        <v>186</v>
      </c>
      <c r="J139" s="355">
        <f t="shared" si="800"/>
        <v>3.6517838096837067</v>
      </c>
      <c r="K139" s="326">
        <f t="shared" si="801"/>
        <v>61883.270000000004</v>
      </c>
      <c r="L139" s="329">
        <f t="shared" si="802"/>
        <v>297</v>
      </c>
      <c r="M139" s="355">
        <f t="shared" si="803"/>
        <v>11.309658209942739</v>
      </c>
      <c r="N139" s="326">
        <f t="shared" si="804"/>
        <v>-155.54999999998836</v>
      </c>
      <c r="O139" s="329">
        <f t="shared" si="805"/>
        <v>6</v>
      </c>
      <c r="P139" s="355">
        <f t="shared" si="806"/>
        <v>-1.5647061639225512</v>
      </c>
      <c r="Q139" s="326">
        <f t="shared" si="807"/>
        <v>67737.179999999993</v>
      </c>
      <c r="R139" s="329">
        <f t="shared" si="808"/>
        <v>370</v>
      </c>
      <c r="S139" s="355">
        <f t="shared" si="809"/>
        <v>-4.1335563146433856</v>
      </c>
      <c r="T139" s="326">
        <f t="shared" si="810"/>
        <v>8785.1199999999953</v>
      </c>
      <c r="U139" s="329">
        <f t="shared" si="811"/>
        <v>51</v>
      </c>
      <c r="V139" s="355">
        <f t="shared" si="812"/>
        <v>-1.0464007280070859</v>
      </c>
      <c r="W139" s="326">
        <f t="shared" si="813"/>
        <v>57485.47</v>
      </c>
      <c r="X139" s="329">
        <f t="shared" si="814"/>
        <v>332</v>
      </c>
      <c r="Y139" s="355">
        <f t="shared" si="815"/>
        <v>-10.080696468921388</v>
      </c>
      <c r="Z139" s="326">
        <f t="shared" si="816"/>
        <v>31691.539999999994</v>
      </c>
      <c r="AA139" s="329">
        <f t="shared" si="817"/>
        <v>179</v>
      </c>
      <c r="AB139" s="355">
        <f t="shared" si="818"/>
        <v>-3.0748361995611333</v>
      </c>
      <c r="AC139" s="326">
        <f t="shared" si="819"/>
        <v>41117.600000000006</v>
      </c>
      <c r="AD139" s="329">
        <f t="shared" si="820"/>
        <v>197</v>
      </c>
      <c r="AE139" s="355">
        <f t="shared" si="821"/>
        <v>6.4227696205447273</v>
      </c>
      <c r="AF139" s="326">
        <f t="shared" si="822"/>
        <v>77263.12</v>
      </c>
      <c r="AG139" s="329">
        <f t="shared" si="823"/>
        <v>409</v>
      </c>
      <c r="AH139" s="355">
        <f t="shared" si="824"/>
        <v>0.71274000104139645</v>
      </c>
      <c r="AI139" s="326">
        <f t="shared" si="825"/>
        <v>14934.5</v>
      </c>
      <c r="AJ139" s="329">
        <f t="shared" si="826"/>
        <v>90</v>
      </c>
      <c r="AK139" s="355">
        <f t="shared" si="827"/>
        <v>-2.7158838652729571</v>
      </c>
      <c r="AL139" s="379"/>
      <c r="AM139" s="380"/>
      <c r="AN139" s="394"/>
      <c r="AO139" s="326">
        <f t="shared" si="828"/>
        <v>30277.160000000003</v>
      </c>
      <c r="AP139" s="329">
        <f t="shared" si="829"/>
        <v>190</v>
      </c>
      <c r="AQ139" s="355">
        <f t="shared" si="830"/>
        <v>-8.5978687886651244</v>
      </c>
      <c r="AR139" s="326">
        <f t="shared" si="831"/>
        <v>18754.920000000013</v>
      </c>
      <c r="AS139" s="329">
        <f t="shared" si="832"/>
        <v>120</v>
      </c>
      <c r="AT139" s="355">
        <f t="shared" si="833"/>
        <v>-5.4123836090639657</v>
      </c>
      <c r="AU139" s="326">
        <f t="shared" si="834"/>
        <v>29666.119999999995</v>
      </c>
      <c r="AV139" s="329">
        <f t="shared" si="835"/>
        <v>117</v>
      </c>
      <c r="AW139" s="355">
        <f t="shared" si="836"/>
        <v>10.773495308002794</v>
      </c>
      <c r="AX139" s="326">
        <f t="shared" ref="AX139:AX158" si="845">$BD116-AX116</f>
        <v>57897.520000000004</v>
      </c>
      <c r="AY139" s="329">
        <f t="shared" ref="AY139:AY158" si="846">$BE116-AY116</f>
        <v>319</v>
      </c>
      <c r="AZ139" s="355">
        <f t="shared" ref="AZ139:AZ158" si="847">$BF116-AZ116</f>
        <v>-4.1960005331860657</v>
      </c>
      <c r="BA139" s="326">
        <f t="shared" si="837"/>
        <v>10984.970000000001</v>
      </c>
      <c r="BB139" s="329">
        <f t="shared" si="838"/>
        <v>77</v>
      </c>
      <c r="BC139" s="355">
        <f t="shared" si="839"/>
        <v>-4.6730799032648065</v>
      </c>
      <c r="BD139" s="327"/>
      <c r="BE139" s="330"/>
      <c r="BF139" s="330"/>
      <c r="BG139" s="327">
        <f t="shared" ref="BG139:BG158" si="848">AVERAGE(B139,E139,H139,K139,N139,Q139,T139,W139,Z139,AC139,AI139,AO139,AR139,AU139,AX139,BA139)</f>
        <v>35768.461875000008</v>
      </c>
      <c r="BH139" s="330">
        <f t="shared" ref="BH139:BI158" si="849">AVERAGE(C139,F139,I139,L139,O139,R139,U139,X139,AA139,AD139,AJ139,AP139,AS139,AV139,AY139,BB139)</f>
        <v>198.1875</v>
      </c>
      <c r="BI139" s="356">
        <f t="shared" si="849"/>
        <v>-2.9698099009336243</v>
      </c>
      <c r="BJ139" s="327">
        <f t="shared" ref="BJ139:BJ158" si="850">MIN(B139,E139,H139,K139,N139,Q139,T139,W139,Z139,AC139,AI139,AO139,AR139,AU139,AX139,BA139)</f>
        <v>-155.54999999998836</v>
      </c>
      <c r="BK139" s="330">
        <f t="shared" ref="BK139:BK158" si="851">MIN(C139,F139,I139,L139,O139,R139,U139,X139,AA139,AD139,AJ139,AP139,AS139,AV139,AY139,BB139)</f>
        <v>6</v>
      </c>
      <c r="BL139" s="356">
        <f t="shared" ref="BL139:BL158" si="852">MIN(D139,G139,J139,M139,P139,S139,V139,Y139,AB139,AE139,AK139,AQ139,AT139,AW139,AZ139,BC139)</f>
        <v>-22.8825433201213</v>
      </c>
      <c r="BM139" s="327">
        <f t="shared" ref="BM139:BM158" si="853">MAX(B139,E139,H139,K139,N139,Q139,T139,W139,Z139,AC139,AI139,AO139,AR139,AU139,AX139,BA139)</f>
        <v>67737.179999999993</v>
      </c>
      <c r="BN139" s="330">
        <f t="shared" ref="BN139:BN158" si="854">MAX(C139,F139,I139,L139,O139,R139,U139,X139,AA139,AD139,AJ139,AP139,AS139,AV139,AY139,BB139)</f>
        <v>388</v>
      </c>
      <c r="BO139" s="356">
        <f t="shared" ref="BO139:BO158" si="855">MAX(D139,G139,J139,M139,P139,S139,V139,Y139,AB139,AE139,AK139,AQ139,AT139,AW139,AZ139,BC139)</f>
        <v>11.309658209942739</v>
      </c>
    </row>
    <row r="140" spans="1:163" hidden="1" outlineLevel="1" x14ac:dyDescent="0.25">
      <c r="A140" s="333">
        <v>3</v>
      </c>
      <c r="B140" s="326">
        <f t="shared" si="792"/>
        <v>72038.350000000006</v>
      </c>
      <c r="C140" s="329">
        <f t="shared" si="793"/>
        <v>405</v>
      </c>
      <c r="D140" s="355">
        <f t="shared" si="794"/>
        <v>-11.321213166672123</v>
      </c>
      <c r="E140" s="326">
        <f t="shared" si="795"/>
        <v>44883.240000000005</v>
      </c>
      <c r="F140" s="329">
        <f t="shared" si="796"/>
        <v>262</v>
      </c>
      <c r="G140" s="355">
        <f t="shared" si="797"/>
        <v>-8.3991055152198442</v>
      </c>
      <c r="H140" s="326">
        <f t="shared" si="798"/>
        <v>44194.17</v>
      </c>
      <c r="I140" s="329">
        <f t="shared" si="799"/>
        <v>205</v>
      </c>
      <c r="J140" s="355">
        <f t="shared" si="800"/>
        <v>7.2847761739297141</v>
      </c>
      <c r="K140" s="326">
        <f t="shared" si="801"/>
        <v>63988.639999999999</v>
      </c>
      <c r="L140" s="329">
        <f t="shared" si="802"/>
        <v>295</v>
      </c>
      <c r="M140" s="355">
        <f t="shared" si="803"/>
        <v>12.739083457753139</v>
      </c>
      <c r="N140" s="326">
        <f t="shared" si="804"/>
        <v>2307.75</v>
      </c>
      <c r="O140" s="329">
        <f t="shared" si="805"/>
        <v>1</v>
      </c>
      <c r="P140" s="355">
        <f t="shared" si="806"/>
        <v>2.3887177082564506</v>
      </c>
      <c r="Q140" s="326">
        <f t="shared" si="807"/>
        <v>64667.28</v>
      </c>
      <c r="R140" s="329">
        <f t="shared" si="808"/>
        <v>344</v>
      </c>
      <c r="S140" s="355">
        <f t="shared" si="809"/>
        <v>-2.1285119829914834</v>
      </c>
      <c r="T140" s="326">
        <f t="shared" si="810"/>
        <v>7803.640000000014</v>
      </c>
      <c r="U140" s="329">
        <f t="shared" si="811"/>
        <v>34</v>
      </c>
      <c r="V140" s="355">
        <f t="shared" si="812"/>
        <v>1.5215383863042007</v>
      </c>
      <c r="W140" s="326">
        <f t="shared" si="813"/>
        <v>54101.820000000007</v>
      </c>
      <c r="X140" s="329">
        <f t="shared" si="814"/>
        <v>314</v>
      </c>
      <c r="Y140" s="355">
        <f t="shared" si="815"/>
        <v>-10.437798764783537</v>
      </c>
      <c r="Z140" s="326">
        <f t="shared" si="816"/>
        <v>22878.03</v>
      </c>
      <c r="AA140" s="329">
        <f t="shared" si="817"/>
        <v>121</v>
      </c>
      <c r="AB140" s="355">
        <f t="shared" si="818"/>
        <v>-0.35881118623811403</v>
      </c>
      <c r="AC140" s="326">
        <f t="shared" si="819"/>
        <v>37940.98000000001</v>
      </c>
      <c r="AD140" s="329">
        <f t="shared" si="820"/>
        <v>172</v>
      </c>
      <c r="AE140" s="355">
        <f t="shared" si="821"/>
        <v>7.0341944008640951</v>
      </c>
      <c r="AF140" s="326">
        <f t="shared" si="822"/>
        <v>77462.63</v>
      </c>
      <c r="AG140" s="329">
        <f t="shared" si="823"/>
        <v>396</v>
      </c>
      <c r="AH140" s="355">
        <f t="shared" si="824"/>
        <v>3.4410799348819978</v>
      </c>
      <c r="AI140" s="326">
        <f t="shared" si="825"/>
        <v>14737.850000000006</v>
      </c>
      <c r="AJ140" s="329">
        <f t="shared" si="826"/>
        <v>69</v>
      </c>
      <c r="AK140" s="355">
        <f t="shared" si="827"/>
        <v>1.8764894578852989</v>
      </c>
      <c r="AL140" s="379"/>
      <c r="AM140" s="380"/>
      <c r="AN140" s="394"/>
      <c r="AO140" s="326">
        <f t="shared" si="828"/>
        <v>30271.130000000005</v>
      </c>
      <c r="AP140" s="329">
        <f t="shared" si="829"/>
        <v>171</v>
      </c>
      <c r="AQ140" s="355">
        <f t="shared" si="830"/>
        <v>-3.4204677275103279</v>
      </c>
      <c r="AR140" s="326">
        <f t="shared" si="831"/>
        <v>17161.510000000009</v>
      </c>
      <c r="AS140" s="329">
        <f t="shared" si="832"/>
        <v>90</v>
      </c>
      <c r="AT140" s="355">
        <f t="shared" si="833"/>
        <v>-7.4830544078054118E-2</v>
      </c>
      <c r="AU140" s="326">
        <f t="shared" si="834"/>
        <v>34884.320000000007</v>
      </c>
      <c r="AV140" s="329">
        <f t="shared" si="835"/>
        <v>129</v>
      </c>
      <c r="AW140" s="355">
        <f t="shared" si="836"/>
        <v>13.457350590321056</v>
      </c>
      <c r="AX140" s="326">
        <f t="shared" si="845"/>
        <v>39202.270000000004</v>
      </c>
      <c r="AY140" s="329">
        <f t="shared" si="846"/>
        <v>197</v>
      </c>
      <c r="AZ140" s="355">
        <f t="shared" si="847"/>
        <v>2.1841829485482833</v>
      </c>
      <c r="BA140" s="326">
        <f t="shared" si="837"/>
        <v>9547.7900000000081</v>
      </c>
      <c r="BB140" s="329">
        <f t="shared" si="838"/>
        <v>58</v>
      </c>
      <c r="BC140" s="355">
        <f t="shared" si="839"/>
        <v>-1.8700656310220154</v>
      </c>
      <c r="BD140" s="326"/>
      <c r="BE140" s="329"/>
      <c r="BF140" s="329"/>
      <c r="BG140" s="326">
        <f t="shared" si="848"/>
        <v>35038.048125000001</v>
      </c>
      <c r="BH140" s="329">
        <f t="shared" si="849"/>
        <v>179.1875</v>
      </c>
      <c r="BI140" s="355">
        <f t="shared" si="849"/>
        <v>0.65472053783417117</v>
      </c>
      <c r="BJ140" s="326">
        <f t="shared" si="850"/>
        <v>2307.75</v>
      </c>
      <c r="BK140" s="329">
        <f t="shared" si="851"/>
        <v>1</v>
      </c>
      <c r="BL140" s="355">
        <f t="shared" si="852"/>
        <v>-11.321213166672123</v>
      </c>
      <c r="BM140" s="326">
        <f t="shared" si="853"/>
        <v>72038.350000000006</v>
      </c>
      <c r="BN140" s="329">
        <f t="shared" si="854"/>
        <v>405</v>
      </c>
      <c r="BO140" s="355">
        <f t="shared" si="855"/>
        <v>13.457350590321056</v>
      </c>
    </row>
    <row r="141" spans="1:163" hidden="1" outlineLevel="1" x14ac:dyDescent="0.25">
      <c r="A141" s="333">
        <v>4</v>
      </c>
      <c r="B141" s="326">
        <f t="shared" si="792"/>
        <v>75567.17</v>
      </c>
      <c r="C141" s="329">
        <f t="shared" si="793"/>
        <v>429</v>
      </c>
      <c r="D141" s="355">
        <f t="shared" si="794"/>
        <v>-13.206610520230726</v>
      </c>
      <c r="E141" s="326">
        <f t="shared" si="795"/>
        <v>41042.97</v>
      </c>
      <c r="F141" s="329">
        <f t="shared" si="796"/>
        <v>249</v>
      </c>
      <c r="G141" s="355">
        <f t="shared" si="797"/>
        <v>-9.7523529047691113</v>
      </c>
      <c r="H141" s="326">
        <f t="shared" si="798"/>
        <v>46952.160000000003</v>
      </c>
      <c r="I141" s="329">
        <f t="shared" si="799"/>
        <v>212</v>
      </c>
      <c r="J141" s="355">
        <f t="shared" si="800"/>
        <v>8.6598267223504877</v>
      </c>
      <c r="K141" s="326">
        <f t="shared" si="801"/>
        <v>64051.100000000006</v>
      </c>
      <c r="L141" s="329">
        <f t="shared" si="802"/>
        <v>288</v>
      </c>
      <c r="M141" s="355">
        <f t="shared" si="803"/>
        <v>13.550631130063977</v>
      </c>
      <c r="N141" s="326">
        <f t="shared" si="804"/>
        <v>5559.3399999999965</v>
      </c>
      <c r="O141" s="329">
        <f t="shared" si="805"/>
        <v>11</v>
      </c>
      <c r="P141" s="355">
        <f t="shared" si="806"/>
        <v>3.7209892746162723</v>
      </c>
      <c r="Q141" s="326">
        <f t="shared" si="807"/>
        <v>66941.509999999995</v>
      </c>
      <c r="R141" s="329">
        <f t="shared" si="808"/>
        <v>350</v>
      </c>
      <c r="S141" s="355">
        <f t="shared" si="809"/>
        <v>-0.330460706670749</v>
      </c>
      <c r="T141" s="326">
        <f t="shared" si="810"/>
        <v>7984.0100000000093</v>
      </c>
      <c r="U141" s="329">
        <f t="shared" si="811"/>
        <v>33</v>
      </c>
      <c r="V141" s="355">
        <f t="shared" si="812"/>
        <v>1.8276919035446326</v>
      </c>
      <c r="W141" s="326">
        <f t="shared" si="813"/>
        <v>53990.25</v>
      </c>
      <c r="X141" s="329">
        <f t="shared" si="814"/>
        <v>310</v>
      </c>
      <c r="Y141" s="355">
        <f t="shared" si="815"/>
        <v>-8.7148179145220297</v>
      </c>
      <c r="Z141" s="326">
        <f t="shared" si="816"/>
        <v>19804.040000000008</v>
      </c>
      <c r="AA141" s="329">
        <f t="shared" si="817"/>
        <v>103</v>
      </c>
      <c r="AB141" s="355">
        <f t="shared" si="818"/>
        <v>5.6199992339429627E-2</v>
      </c>
      <c r="AC141" s="326">
        <f t="shared" si="819"/>
        <v>37354.369999999995</v>
      </c>
      <c r="AD141" s="329">
        <f t="shared" si="820"/>
        <v>159</v>
      </c>
      <c r="AE141" s="355">
        <f t="shared" si="821"/>
        <v>8.800418036354074</v>
      </c>
      <c r="AF141" s="326">
        <f t="shared" si="822"/>
        <v>81542.86</v>
      </c>
      <c r="AG141" s="329">
        <f t="shared" si="823"/>
        <v>411</v>
      </c>
      <c r="AH141" s="355">
        <f t="shared" si="824"/>
        <v>5.135151054162634</v>
      </c>
      <c r="AI141" s="326">
        <f t="shared" si="825"/>
        <v>9514.4800000000105</v>
      </c>
      <c r="AJ141" s="329">
        <f t="shared" si="826"/>
        <v>45</v>
      </c>
      <c r="AK141" s="355">
        <f t="shared" si="827"/>
        <v>0.98850123084784514</v>
      </c>
      <c r="AL141" s="379"/>
      <c r="AM141" s="380"/>
      <c r="AN141" s="394"/>
      <c r="AO141" s="326">
        <f t="shared" si="828"/>
        <v>31690.910000000003</v>
      </c>
      <c r="AP141" s="329">
        <f t="shared" si="829"/>
        <v>170</v>
      </c>
      <c r="AQ141" s="355">
        <f t="shared" si="830"/>
        <v>-1.1952048074360277</v>
      </c>
      <c r="AR141" s="326">
        <f t="shared" si="831"/>
        <v>14169.200000000012</v>
      </c>
      <c r="AS141" s="329">
        <f t="shared" si="832"/>
        <v>69</v>
      </c>
      <c r="AT141" s="355">
        <f t="shared" si="833"/>
        <v>1.0746288285679952</v>
      </c>
      <c r="AU141" s="326">
        <f t="shared" si="834"/>
        <v>14810.320000000007</v>
      </c>
      <c r="AV141" s="329">
        <f t="shared" si="835"/>
        <v>10</v>
      </c>
      <c r="AW141" s="355">
        <f t="shared" si="836"/>
        <v>13.892406992132948</v>
      </c>
      <c r="AX141" s="326">
        <f t="shared" si="845"/>
        <v>36996.149999999994</v>
      </c>
      <c r="AY141" s="329">
        <f t="shared" si="846"/>
        <v>179</v>
      </c>
      <c r="AZ141" s="355">
        <f t="shared" si="847"/>
        <v>3.5058933171522426</v>
      </c>
      <c r="BA141" s="326">
        <f t="shared" si="837"/>
        <v>7121.6600000000035</v>
      </c>
      <c r="BB141" s="329">
        <f t="shared" si="838"/>
        <v>46</v>
      </c>
      <c r="BC141" s="355">
        <f t="shared" si="839"/>
        <v>-1.9079652824920856</v>
      </c>
      <c r="BD141" s="326"/>
      <c r="BE141" s="329"/>
      <c r="BF141" s="329"/>
      <c r="BG141" s="326">
        <f t="shared" si="848"/>
        <v>33346.852500000008</v>
      </c>
      <c r="BH141" s="329">
        <f t="shared" si="849"/>
        <v>166.4375</v>
      </c>
      <c r="BI141" s="355">
        <f t="shared" si="849"/>
        <v>1.3106109557405734</v>
      </c>
      <c r="BJ141" s="326">
        <f t="shared" si="850"/>
        <v>5559.3399999999965</v>
      </c>
      <c r="BK141" s="329">
        <f t="shared" si="851"/>
        <v>10</v>
      </c>
      <c r="BL141" s="355">
        <f t="shared" si="852"/>
        <v>-13.206610520230726</v>
      </c>
      <c r="BM141" s="326">
        <f t="shared" si="853"/>
        <v>75567.17</v>
      </c>
      <c r="BN141" s="329">
        <f t="shared" si="854"/>
        <v>429</v>
      </c>
      <c r="BO141" s="355">
        <f t="shared" si="855"/>
        <v>13.892406992132948</v>
      </c>
    </row>
    <row r="142" spans="1:163" hidden="1" outlineLevel="1" x14ac:dyDescent="0.25">
      <c r="A142" s="333">
        <v>5</v>
      </c>
      <c r="B142" s="326">
        <f t="shared" si="792"/>
        <v>65556.28</v>
      </c>
      <c r="C142" s="329">
        <f t="shared" si="793"/>
        <v>376</v>
      </c>
      <c r="D142" s="355">
        <f t="shared" si="794"/>
        <v>-11.211043141870562</v>
      </c>
      <c r="E142" s="326">
        <f t="shared" si="795"/>
        <v>40340.579999999987</v>
      </c>
      <c r="F142" s="329">
        <f t="shared" si="796"/>
        <v>234</v>
      </c>
      <c r="G142" s="355">
        <f t="shared" si="797"/>
        <v>-6.2538792136127199</v>
      </c>
      <c r="H142" s="326">
        <f t="shared" si="798"/>
        <v>45769.880000000005</v>
      </c>
      <c r="I142" s="329">
        <f t="shared" si="799"/>
        <v>201</v>
      </c>
      <c r="J142" s="355">
        <f t="shared" si="800"/>
        <v>9.2977269116053947</v>
      </c>
      <c r="K142" s="326">
        <f t="shared" si="801"/>
        <v>61871.89</v>
      </c>
      <c r="L142" s="329">
        <f t="shared" si="802"/>
        <v>273</v>
      </c>
      <c r="M142" s="355">
        <f t="shared" si="803"/>
        <v>13.510868466325718</v>
      </c>
      <c r="N142" s="326">
        <f t="shared" si="804"/>
        <v>7142.4700000000012</v>
      </c>
      <c r="O142" s="329">
        <f t="shared" si="805"/>
        <v>16</v>
      </c>
      <c r="P142" s="355">
        <f t="shared" si="806"/>
        <v>4.260719364178982</v>
      </c>
      <c r="Q142" s="326">
        <f t="shared" si="807"/>
        <v>66087.27</v>
      </c>
      <c r="R142" s="329">
        <f t="shared" si="808"/>
        <v>333</v>
      </c>
      <c r="S142" s="355">
        <f t="shared" si="809"/>
        <v>3.323518671569559</v>
      </c>
      <c r="T142" s="326">
        <f t="shared" si="810"/>
        <v>10122.48000000001</v>
      </c>
      <c r="U142" s="329">
        <f t="shared" si="811"/>
        <v>46</v>
      </c>
      <c r="V142" s="355">
        <f t="shared" si="812"/>
        <v>1.3905041667826481</v>
      </c>
      <c r="W142" s="326">
        <f t="shared" si="813"/>
        <v>52229.399999999994</v>
      </c>
      <c r="X142" s="329">
        <f t="shared" si="814"/>
        <v>294</v>
      </c>
      <c r="Y142" s="355">
        <f t="shared" si="815"/>
        <v>-6.2715661114719978</v>
      </c>
      <c r="Z142" s="326">
        <f t="shared" si="816"/>
        <v>16082.589999999997</v>
      </c>
      <c r="AA142" s="329">
        <f t="shared" si="817"/>
        <v>83</v>
      </c>
      <c r="AB142" s="355">
        <f t="shared" si="818"/>
        <v>0.15641542804388564</v>
      </c>
      <c r="AC142" s="326">
        <f t="shared" si="819"/>
        <v>36140.329999999987</v>
      </c>
      <c r="AD142" s="329">
        <f t="shared" si="820"/>
        <v>150</v>
      </c>
      <c r="AE142" s="355">
        <f t="shared" si="821"/>
        <v>8.923784174683334</v>
      </c>
      <c r="AF142" s="326">
        <f t="shared" si="822"/>
        <v>80086.84</v>
      </c>
      <c r="AG142" s="329">
        <f t="shared" si="823"/>
        <v>398</v>
      </c>
      <c r="AH142" s="355">
        <f t="shared" si="824"/>
        <v>6.3419724182801929</v>
      </c>
      <c r="AI142" s="326">
        <f t="shared" si="825"/>
        <v>9375.8299999999872</v>
      </c>
      <c r="AJ142" s="329">
        <f t="shared" si="826"/>
        <v>39</v>
      </c>
      <c r="AK142" s="355">
        <f t="shared" si="827"/>
        <v>2.0216900964891522</v>
      </c>
      <c r="AL142" s="379"/>
      <c r="AM142" s="380"/>
      <c r="AN142" s="394"/>
      <c r="AO142" s="326">
        <f t="shared" si="828"/>
        <v>30083.140000000014</v>
      </c>
      <c r="AP142" s="329">
        <f t="shared" si="829"/>
        <v>155</v>
      </c>
      <c r="AQ142" s="355">
        <f t="shared" si="830"/>
        <v>0.37839873488016451</v>
      </c>
      <c r="AR142" s="326">
        <f t="shared" si="831"/>
        <v>14870.839999999997</v>
      </c>
      <c r="AS142" s="329">
        <f t="shared" si="832"/>
        <v>66</v>
      </c>
      <c r="AT142" s="355">
        <f t="shared" si="833"/>
        <v>2.4228978953177887</v>
      </c>
      <c r="AU142" s="326">
        <f t="shared" si="834"/>
        <v>7662.429999999993</v>
      </c>
      <c r="AV142" s="329">
        <f t="shared" si="835"/>
        <v>-39</v>
      </c>
      <c r="AW142" s="355">
        <f t="shared" si="836"/>
        <v>15.004004782249581</v>
      </c>
      <c r="AX142" s="326">
        <f t="shared" si="845"/>
        <v>36508.799999999988</v>
      </c>
      <c r="AY142" s="329">
        <f t="shared" si="846"/>
        <v>173</v>
      </c>
      <c r="AZ142" s="355">
        <f t="shared" si="847"/>
        <v>4.1062217851528544</v>
      </c>
      <c r="BA142" s="326">
        <f t="shared" si="837"/>
        <v>570.14000000001397</v>
      </c>
      <c r="BB142" s="329">
        <f t="shared" si="838"/>
        <v>14</v>
      </c>
      <c r="BC142" s="355">
        <f t="shared" si="839"/>
        <v>-2.2143757902904042</v>
      </c>
      <c r="BD142" s="326"/>
      <c r="BE142" s="329"/>
      <c r="BF142" s="329"/>
      <c r="BG142" s="326">
        <f t="shared" si="848"/>
        <v>31275.896874999991</v>
      </c>
      <c r="BH142" s="329">
        <f t="shared" si="849"/>
        <v>150.875</v>
      </c>
      <c r="BI142" s="355">
        <f t="shared" si="849"/>
        <v>2.4278678887520861</v>
      </c>
      <c r="BJ142" s="326">
        <f t="shared" si="850"/>
        <v>570.14000000001397</v>
      </c>
      <c r="BK142" s="329">
        <f t="shared" si="851"/>
        <v>-39</v>
      </c>
      <c r="BL142" s="355">
        <f t="shared" si="852"/>
        <v>-11.211043141870562</v>
      </c>
      <c r="BM142" s="326">
        <f t="shared" si="853"/>
        <v>66087.27</v>
      </c>
      <c r="BN142" s="329">
        <f t="shared" si="854"/>
        <v>376</v>
      </c>
      <c r="BO142" s="355">
        <f t="shared" si="855"/>
        <v>15.004004782249581</v>
      </c>
    </row>
    <row r="143" spans="1:163" hidden="1" outlineLevel="1" x14ac:dyDescent="0.25">
      <c r="A143" s="833">
        <v>6</v>
      </c>
      <c r="B143" s="326">
        <f t="shared" si="792"/>
        <v>69783.23</v>
      </c>
      <c r="C143" s="329">
        <f t="shared" si="793"/>
        <v>398</v>
      </c>
      <c r="D143" s="355">
        <f t="shared" si="794"/>
        <v>-10.669994716821634</v>
      </c>
      <c r="E143" s="326">
        <f t="shared" si="795"/>
        <v>43644.929999999993</v>
      </c>
      <c r="F143" s="329">
        <f t="shared" si="796"/>
        <v>250</v>
      </c>
      <c r="G143" s="355">
        <f t="shared" si="797"/>
        <v>-5.6509791970011634</v>
      </c>
      <c r="H143" s="326">
        <f t="shared" si="798"/>
        <v>45281.679999999993</v>
      </c>
      <c r="I143" s="329">
        <f t="shared" si="799"/>
        <v>205</v>
      </c>
      <c r="J143" s="355">
        <f t="shared" si="800"/>
        <v>7.3579875805472454</v>
      </c>
      <c r="K143" s="326">
        <f t="shared" si="801"/>
        <v>51314.049999999988</v>
      </c>
      <c r="L143" s="329">
        <f t="shared" si="802"/>
        <v>210</v>
      </c>
      <c r="M143" s="355">
        <f t="shared" si="803"/>
        <v>13.713602475786729</v>
      </c>
      <c r="N143" s="326">
        <f t="shared" si="804"/>
        <v>9253.7600000000093</v>
      </c>
      <c r="O143" s="329">
        <f t="shared" si="805"/>
        <v>23</v>
      </c>
      <c r="P143" s="355">
        <f t="shared" si="806"/>
        <v>4.8851971889013157</v>
      </c>
      <c r="Q143" s="326">
        <f t="shared" si="807"/>
        <v>56806.290000000008</v>
      </c>
      <c r="R143" s="329">
        <f t="shared" si="808"/>
        <v>277</v>
      </c>
      <c r="S143" s="355">
        <f t="shared" si="809"/>
        <v>4.9716226024262937</v>
      </c>
      <c r="T143" s="326">
        <f t="shared" si="810"/>
        <v>13988.109999999986</v>
      </c>
      <c r="U143" s="329">
        <f t="shared" si="811"/>
        <v>68</v>
      </c>
      <c r="V143" s="355">
        <f t="shared" si="812"/>
        <v>0.99616316599320953</v>
      </c>
      <c r="W143" s="326">
        <f t="shared" si="813"/>
        <v>56609.440000000002</v>
      </c>
      <c r="X143" s="329">
        <f t="shared" si="814"/>
        <v>320</v>
      </c>
      <c r="Y143" s="355">
        <f t="shared" si="815"/>
        <v>-6.8908875739645055</v>
      </c>
      <c r="Z143" s="326">
        <f t="shared" si="816"/>
        <v>14908.329999999987</v>
      </c>
      <c r="AA143" s="329">
        <f t="shared" si="817"/>
        <v>70</v>
      </c>
      <c r="AB143" s="355">
        <f t="shared" si="818"/>
        <v>1.566623019255843</v>
      </c>
      <c r="AC143" s="326">
        <f t="shared" si="819"/>
        <v>31914.48000000001</v>
      </c>
      <c r="AD143" s="329">
        <f t="shared" si="820"/>
        <v>143</v>
      </c>
      <c r="AE143" s="355">
        <f t="shared" si="821"/>
        <v>5.1435785569195502</v>
      </c>
      <c r="AF143" s="326">
        <f t="shared" si="822"/>
        <v>74220.479999999996</v>
      </c>
      <c r="AG143" s="329">
        <f t="shared" si="823"/>
        <v>370</v>
      </c>
      <c r="AH143" s="355">
        <f t="shared" si="824"/>
        <v>5.0253236061597306</v>
      </c>
      <c r="AI143" s="326">
        <f t="shared" si="825"/>
        <v>11266.760000000009</v>
      </c>
      <c r="AJ143" s="329">
        <f t="shared" si="826"/>
        <v>48</v>
      </c>
      <c r="AK143" s="355">
        <f t="shared" si="827"/>
        <v>2.1304374777953399</v>
      </c>
      <c r="AL143" s="379"/>
      <c r="AM143" s="380"/>
      <c r="AN143" s="394"/>
      <c r="AO143" s="326">
        <f t="shared" si="828"/>
        <v>28026.720000000001</v>
      </c>
      <c r="AP143" s="329">
        <f t="shared" si="829"/>
        <v>142</v>
      </c>
      <c r="AQ143" s="355">
        <f t="shared" si="830"/>
        <v>0.8992500407144064</v>
      </c>
      <c r="AR143" s="326">
        <f t="shared" si="831"/>
        <v>17067.140000000014</v>
      </c>
      <c r="AS143" s="329">
        <f t="shared" si="832"/>
        <v>74</v>
      </c>
      <c r="AT143" s="355">
        <f t="shared" si="833"/>
        <v>3.0535166813546653</v>
      </c>
      <c r="AU143" s="326">
        <f t="shared" si="834"/>
        <v>5390.359999999986</v>
      </c>
      <c r="AV143" s="329">
        <f t="shared" si="835"/>
        <v>-54</v>
      </c>
      <c r="AW143" s="355">
        <f t="shared" si="836"/>
        <v>14.747389579593545</v>
      </c>
      <c r="AX143" s="326">
        <f t="shared" si="845"/>
        <v>35633.679999999993</v>
      </c>
      <c r="AY143" s="329">
        <f t="shared" si="846"/>
        <v>166</v>
      </c>
      <c r="AZ143" s="355">
        <f t="shared" si="847"/>
        <v>4.4654803505638085</v>
      </c>
      <c r="BA143" s="326">
        <f t="shared" si="837"/>
        <v>-390.54999999998836</v>
      </c>
      <c r="BB143" s="329">
        <f t="shared" si="838"/>
        <v>7</v>
      </c>
      <c r="BC143" s="355">
        <f t="shared" si="839"/>
        <v>-1.7214436812137421</v>
      </c>
      <c r="BD143" s="327"/>
      <c r="BE143" s="330"/>
      <c r="BF143" s="330"/>
      <c r="BG143" s="327">
        <f t="shared" si="848"/>
        <v>30656.150624999995</v>
      </c>
      <c r="BH143" s="330">
        <f t="shared" si="849"/>
        <v>146.6875</v>
      </c>
      <c r="BI143" s="356">
        <f t="shared" si="849"/>
        <v>2.4373464719281817</v>
      </c>
      <c r="BJ143" s="327">
        <f t="shared" si="850"/>
        <v>-390.54999999998836</v>
      </c>
      <c r="BK143" s="330">
        <f t="shared" si="851"/>
        <v>-54</v>
      </c>
      <c r="BL143" s="356">
        <f t="shared" si="852"/>
        <v>-10.669994716821634</v>
      </c>
      <c r="BM143" s="327">
        <f t="shared" si="853"/>
        <v>69783.23</v>
      </c>
      <c r="BN143" s="330">
        <f t="shared" si="854"/>
        <v>398</v>
      </c>
      <c r="BO143" s="356">
        <f t="shared" si="855"/>
        <v>14.747389579593545</v>
      </c>
    </row>
    <row r="144" spans="1:163" hidden="1" outlineLevel="1" x14ac:dyDescent="0.25">
      <c r="A144" s="833">
        <v>7</v>
      </c>
      <c r="B144" s="326">
        <f t="shared" si="792"/>
        <v>65505.16</v>
      </c>
      <c r="C144" s="329">
        <f t="shared" si="793"/>
        <v>376</v>
      </c>
      <c r="D144" s="355">
        <f t="shared" si="794"/>
        <v>-9.7819647822057334</v>
      </c>
      <c r="E144" s="326">
        <f t="shared" si="795"/>
        <v>37895.320000000007</v>
      </c>
      <c r="F144" s="329">
        <f t="shared" si="796"/>
        <v>217</v>
      </c>
      <c r="G144" s="355">
        <f t="shared" si="797"/>
        <v>-4.4448280213103999</v>
      </c>
      <c r="H144" s="326">
        <f t="shared" si="798"/>
        <v>43929.76999999999</v>
      </c>
      <c r="I144" s="329">
        <f t="shared" si="799"/>
        <v>192</v>
      </c>
      <c r="J144" s="355">
        <f t="shared" si="800"/>
        <v>8.4476605587808251</v>
      </c>
      <c r="K144" s="326">
        <f t="shared" si="801"/>
        <v>45451.429999999993</v>
      </c>
      <c r="L144" s="329">
        <f t="shared" si="802"/>
        <v>178</v>
      </c>
      <c r="M144" s="355">
        <f t="shared" si="803"/>
        <v>13.185779046939132</v>
      </c>
      <c r="N144" s="326">
        <f t="shared" si="804"/>
        <v>-2124.179999999993</v>
      </c>
      <c r="O144" s="329">
        <f t="shared" si="805"/>
        <v>-46</v>
      </c>
      <c r="P144" s="355">
        <f t="shared" si="806"/>
        <v>6.1550439155687684</v>
      </c>
      <c r="Q144" s="326">
        <f t="shared" si="807"/>
        <v>49073.26999999999</v>
      </c>
      <c r="R144" s="329">
        <f t="shared" si="808"/>
        <v>238</v>
      </c>
      <c r="S144" s="355">
        <f t="shared" si="809"/>
        <v>4.3622923460579273</v>
      </c>
      <c r="T144" s="326">
        <f t="shared" si="810"/>
        <v>13451.880000000005</v>
      </c>
      <c r="U144" s="329">
        <f t="shared" si="811"/>
        <v>66</v>
      </c>
      <c r="V144" s="355">
        <f t="shared" si="812"/>
        <v>0.83523061127783649</v>
      </c>
      <c r="W144" s="326">
        <f t="shared" si="813"/>
        <v>47718.880000000005</v>
      </c>
      <c r="X144" s="329">
        <f t="shared" si="814"/>
        <v>285</v>
      </c>
      <c r="Y144" s="355">
        <f t="shared" si="815"/>
        <v>-9.0806352521650524</v>
      </c>
      <c r="Z144" s="326">
        <f t="shared" si="816"/>
        <v>10399.380000000005</v>
      </c>
      <c r="AA144" s="329">
        <f t="shared" si="817"/>
        <v>41</v>
      </c>
      <c r="AB144" s="355">
        <f t="shared" si="818"/>
        <v>2.5508250558250722</v>
      </c>
      <c r="AC144" s="326">
        <f t="shared" si="819"/>
        <v>31621.920000000013</v>
      </c>
      <c r="AD144" s="329">
        <f t="shared" si="820"/>
        <v>141</v>
      </c>
      <c r="AE144" s="355">
        <f t="shared" si="821"/>
        <v>5.1410186532044406</v>
      </c>
      <c r="AF144" s="326">
        <f t="shared" si="822"/>
        <v>66091.609999999986</v>
      </c>
      <c r="AG144" s="329">
        <f t="shared" si="823"/>
        <v>330</v>
      </c>
      <c r="AH144" s="355">
        <f t="shared" si="824"/>
        <v>4.0842015167930583</v>
      </c>
      <c r="AI144" s="326">
        <f t="shared" si="825"/>
        <v>7797.7900000000081</v>
      </c>
      <c r="AJ144" s="329">
        <f t="shared" si="826"/>
        <v>31</v>
      </c>
      <c r="AK144" s="355">
        <f t="shared" si="827"/>
        <v>1.844983227872234</v>
      </c>
      <c r="AL144" s="379"/>
      <c r="AM144" s="380"/>
      <c r="AN144" s="394"/>
      <c r="AO144" s="326">
        <f t="shared" si="828"/>
        <v>24860.160000000003</v>
      </c>
      <c r="AP144" s="329">
        <f t="shared" si="829"/>
        <v>119</v>
      </c>
      <c r="AQ144" s="355">
        <f t="shared" si="830"/>
        <v>2.2506017706506327</v>
      </c>
      <c r="AR144" s="326">
        <f t="shared" si="831"/>
        <v>13930.359999999986</v>
      </c>
      <c r="AS144" s="329">
        <f t="shared" si="832"/>
        <v>61</v>
      </c>
      <c r="AT144" s="355">
        <f t="shared" si="833"/>
        <v>2.2976982006757112</v>
      </c>
      <c r="AU144" s="326">
        <f t="shared" si="834"/>
        <v>2985.3299999999872</v>
      </c>
      <c r="AV144" s="329">
        <f t="shared" si="835"/>
        <v>-68</v>
      </c>
      <c r="AW144" s="355">
        <f t="shared" si="836"/>
        <v>14.446458622604808</v>
      </c>
      <c r="AX144" s="326">
        <f t="shared" si="845"/>
        <v>34065.640000000014</v>
      </c>
      <c r="AY144" s="329">
        <f t="shared" si="846"/>
        <v>159</v>
      </c>
      <c r="AZ144" s="355">
        <f t="shared" si="847"/>
        <v>4.107456125032769</v>
      </c>
      <c r="BA144" s="326">
        <f t="shared" si="837"/>
        <v>-3306.8699999999953</v>
      </c>
      <c r="BB144" s="329">
        <f t="shared" si="838"/>
        <v>-8</v>
      </c>
      <c r="BC144" s="355">
        <f t="shared" si="839"/>
        <v>-1.6936516441573701</v>
      </c>
      <c r="BD144" s="326"/>
      <c r="BE144" s="329"/>
      <c r="BF144" s="329"/>
      <c r="BG144" s="326">
        <f t="shared" si="848"/>
        <v>26453.452500000007</v>
      </c>
      <c r="BH144" s="329">
        <f t="shared" si="849"/>
        <v>123.875</v>
      </c>
      <c r="BI144" s="355">
        <f t="shared" si="849"/>
        <v>2.5389980271657251</v>
      </c>
      <c r="BJ144" s="326">
        <f t="shared" si="850"/>
        <v>-3306.8699999999953</v>
      </c>
      <c r="BK144" s="329">
        <f t="shared" si="851"/>
        <v>-68</v>
      </c>
      <c r="BL144" s="355">
        <f t="shared" si="852"/>
        <v>-9.7819647822057334</v>
      </c>
      <c r="BM144" s="326">
        <f t="shared" si="853"/>
        <v>65505.16</v>
      </c>
      <c r="BN144" s="329">
        <f t="shared" si="854"/>
        <v>376</v>
      </c>
      <c r="BO144" s="355">
        <f t="shared" si="855"/>
        <v>14.446458622604808</v>
      </c>
    </row>
    <row r="145" spans="1:67" hidden="1" outlineLevel="1" x14ac:dyDescent="0.25">
      <c r="A145" s="833">
        <v>8</v>
      </c>
      <c r="B145" s="327">
        <f t="shared" si="792"/>
        <v>58016.98000000001</v>
      </c>
      <c r="C145" s="330">
        <f t="shared" si="793"/>
        <v>344</v>
      </c>
      <c r="D145" s="356">
        <f t="shared" si="794"/>
        <v>-10.778129930696963</v>
      </c>
      <c r="E145" s="327">
        <f t="shared" si="795"/>
        <v>36900.410000000003</v>
      </c>
      <c r="F145" s="330">
        <f t="shared" si="796"/>
        <v>214</v>
      </c>
      <c r="G145" s="356">
        <f t="shared" si="797"/>
        <v>-4.749118830604516</v>
      </c>
      <c r="H145" s="327">
        <f t="shared" si="798"/>
        <v>42451.299999999988</v>
      </c>
      <c r="I145" s="330">
        <f t="shared" si="799"/>
        <v>179</v>
      </c>
      <c r="J145" s="356">
        <f t="shared" si="800"/>
        <v>9.1428607617105513</v>
      </c>
      <c r="K145" s="327">
        <f t="shared" si="801"/>
        <v>38237.049999999988</v>
      </c>
      <c r="L145" s="330">
        <f t="shared" si="802"/>
        <v>149</v>
      </c>
      <c r="M145" s="356">
        <f t="shared" si="803"/>
        <v>10.502504054659198</v>
      </c>
      <c r="N145" s="327">
        <f t="shared" si="804"/>
        <v>-5169.9400000000023</v>
      </c>
      <c r="O145" s="330">
        <f t="shared" si="805"/>
        <v>-55</v>
      </c>
      <c r="P145" s="356">
        <f t="shared" si="806"/>
        <v>4.7537926242456479</v>
      </c>
      <c r="Q145" s="327">
        <f t="shared" si="807"/>
        <v>38639.760000000009</v>
      </c>
      <c r="R145" s="330">
        <f t="shared" si="808"/>
        <v>177</v>
      </c>
      <c r="S145" s="356">
        <f t="shared" si="809"/>
        <v>5.2959456131007983</v>
      </c>
      <c r="T145" s="327">
        <f t="shared" si="810"/>
        <v>14885.5</v>
      </c>
      <c r="U145" s="330">
        <f t="shared" si="811"/>
        <v>69</v>
      </c>
      <c r="V145" s="356">
        <f t="shared" si="812"/>
        <v>1.6656909175970895</v>
      </c>
      <c r="W145" s="327">
        <f t="shared" si="813"/>
        <v>40531.279999999999</v>
      </c>
      <c r="X145" s="330">
        <f t="shared" si="814"/>
        <v>246</v>
      </c>
      <c r="Y145" s="356">
        <f t="shared" si="815"/>
        <v>-7.9521874841526312</v>
      </c>
      <c r="Z145" s="327">
        <f t="shared" si="816"/>
        <v>8143.570000000007</v>
      </c>
      <c r="AA145" s="330">
        <f t="shared" si="817"/>
        <v>31</v>
      </c>
      <c r="AB145" s="356">
        <f t="shared" si="818"/>
        <v>2.1182619004602543</v>
      </c>
      <c r="AC145" s="327">
        <f t="shared" si="819"/>
        <v>28481.339999999997</v>
      </c>
      <c r="AD145" s="330">
        <f t="shared" si="820"/>
        <v>124</v>
      </c>
      <c r="AE145" s="356">
        <f t="shared" si="821"/>
        <v>4.9904906228855168</v>
      </c>
      <c r="AF145" s="327">
        <f t="shared" si="822"/>
        <v>60266.239999999991</v>
      </c>
      <c r="AG145" s="330">
        <f t="shared" si="823"/>
        <v>296</v>
      </c>
      <c r="AH145" s="356">
        <f t="shared" si="824"/>
        <v>4.6123001819553338</v>
      </c>
      <c r="AI145" s="327">
        <f t="shared" si="825"/>
        <v>7176.3399999999965</v>
      </c>
      <c r="AJ145" s="330">
        <f t="shared" si="826"/>
        <v>25</v>
      </c>
      <c r="AK145" s="356">
        <f t="shared" si="827"/>
        <v>2.2795497570484429</v>
      </c>
      <c r="AL145" s="379"/>
      <c r="AM145" s="380"/>
      <c r="AN145" s="394"/>
      <c r="AO145" s="327">
        <f t="shared" si="828"/>
        <v>23052.399999999994</v>
      </c>
      <c r="AP145" s="330">
        <f t="shared" si="829"/>
        <v>108</v>
      </c>
      <c r="AQ145" s="356">
        <f t="shared" si="830"/>
        <v>2.45694672338945</v>
      </c>
      <c r="AR145" s="327">
        <f t="shared" si="831"/>
        <v>12454.76999999999</v>
      </c>
      <c r="AS145" s="330">
        <f t="shared" si="832"/>
        <v>63</v>
      </c>
      <c r="AT145" s="356">
        <f t="shared" si="833"/>
        <v>0.38672566967784405</v>
      </c>
      <c r="AU145" s="327">
        <f t="shared" si="834"/>
        <v>2075.7300000000105</v>
      </c>
      <c r="AV145" s="330">
        <f t="shared" si="835"/>
        <v>-77</v>
      </c>
      <c r="AW145" s="356">
        <f t="shared" si="836"/>
        <v>14.626813314964153</v>
      </c>
      <c r="AX145" s="327">
        <f t="shared" si="845"/>
        <v>29898.03</v>
      </c>
      <c r="AY145" s="330">
        <f t="shared" si="846"/>
        <v>137</v>
      </c>
      <c r="AZ145" s="356">
        <f t="shared" si="847"/>
        <v>3.91370965461482</v>
      </c>
      <c r="BA145" s="327">
        <f t="shared" si="837"/>
        <v>-7122.679999999993</v>
      </c>
      <c r="BB145" s="330">
        <f t="shared" si="838"/>
        <v>-30</v>
      </c>
      <c r="BC145" s="356">
        <f t="shared" si="839"/>
        <v>-1.2491693331496947</v>
      </c>
      <c r="BD145" s="327"/>
      <c r="BE145" s="330"/>
      <c r="BF145" s="330"/>
      <c r="BG145" s="327">
        <f t="shared" si="848"/>
        <v>23040.74</v>
      </c>
      <c r="BH145" s="330">
        <f t="shared" si="849"/>
        <v>106.5</v>
      </c>
      <c r="BI145" s="356">
        <f t="shared" si="849"/>
        <v>2.3377928772343726</v>
      </c>
      <c r="BJ145" s="327">
        <f t="shared" si="850"/>
        <v>-7122.679999999993</v>
      </c>
      <c r="BK145" s="330">
        <f t="shared" si="851"/>
        <v>-77</v>
      </c>
      <c r="BL145" s="356">
        <f t="shared" si="852"/>
        <v>-10.778129930696963</v>
      </c>
      <c r="BM145" s="327">
        <f t="shared" si="853"/>
        <v>58016.98000000001</v>
      </c>
      <c r="BN145" s="330">
        <f t="shared" si="854"/>
        <v>344</v>
      </c>
      <c r="BO145" s="356">
        <f t="shared" si="855"/>
        <v>14.626813314964153</v>
      </c>
    </row>
    <row r="146" spans="1:67" hidden="1" outlineLevel="1" x14ac:dyDescent="0.25">
      <c r="A146" s="833">
        <v>9</v>
      </c>
      <c r="B146" s="326">
        <f t="shared" si="792"/>
        <v>61961.279999999999</v>
      </c>
      <c r="C146" s="329">
        <f t="shared" si="793"/>
        <v>377</v>
      </c>
      <c r="D146" s="355">
        <f t="shared" si="794"/>
        <v>-12.605157583329657</v>
      </c>
      <c r="E146" s="326">
        <f t="shared" si="795"/>
        <v>38582.760000000009</v>
      </c>
      <c r="F146" s="329">
        <f t="shared" si="796"/>
        <v>220</v>
      </c>
      <c r="G146" s="355">
        <f t="shared" si="797"/>
        <v>-3.4561830371671931</v>
      </c>
      <c r="H146" s="326">
        <f t="shared" si="798"/>
        <v>40476.149999999994</v>
      </c>
      <c r="I146" s="329">
        <f t="shared" si="799"/>
        <v>175</v>
      </c>
      <c r="J146" s="355">
        <f t="shared" si="800"/>
        <v>7.5405182435527536</v>
      </c>
      <c r="K146" s="326">
        <f t="shared" si="801"/>
        <v>40327.390000000014</v>
      </c>
      <c r="L146" s="329">
        <f t="shared" si="802"/>
        <v>163</v>
      </c>
      <c r="M146" s="355">
        <f t="shared" si="803"/>
        <v>9.6311115497273931</v>
      </c>
      <c r="N146" s="326">
        <f t="shared" si="804"/>
        <v>-786.57000000000698</v>
      </c>
      <c r="O146" s="329">
        <f t="shared" si="805"/>
        <v>-19</v>
      </c>
      <c r="P146" s="355">
        <f t="shared" si="806"/>
        <v>2.4369835174600212</v>
      </c>
      <c r="Q146" s="326">
        <f t="shared" si="807"/>
        <v>38077.760000000009</v>
      </c>
      <c r="R146" s="329">
        <f t="shared" si="808"/>
        <v>176</v>
      </c>
      <c r="S146" s="355">
        <f t="shared" si="809"/>
        <v>4.8579326169484602</v>
      </c>
      <c r="T146" s="326">
        <f t="shared" si="810"/>
        <v>20763.179999999993</v>
      </c>
      <c r="U146" s="329">
        <f t="shared" si="811"/>
        <v>112</v>
      </c>
      <c r="V146" s="355">
        <f t="shared" si="812"/>
        <v>-0.48166062001322985</v>
      </c>
      <c r="W146" s="326">
        <f t="shared" si="813"/>
        <v>32936.94</v>
      </c>
      <c r="X146" s="329">
        <f t="shared" si="814"/>
        <v>205</v>
      </c>
      <c r="Y146" s="355">
        <f t="shared" si="815"/>
        <v>-6.4004583735968765</v>
      </c>
      <c r="Z146" s="326">
        <f t="shared" si="816"/>
        <v>9748.9899999999907</v>
      </c>
      <c r="AA146" s="329">
        <f t="shared" si="817"/>
        <v>48</v>
      </c>
      <c r="AB146" s="355">
        <f t="shared" si="818"/>
        <v>0.58595525709034746</v>
      </c>
      <c r="AC146" s="326">
        <f t="shared" si="819"/>
        <v>35892.559999999998</v>
      </c>
      <c r="AD146" s="329">
        <f t="shared" si="820"/>
        <v>161</v>
      </c>
      <c r="AE146" s="355">
        <f t="shared" si="821"/>
        <v>5.4606955404892403</v>
      </c>
      <c r="AF146" s="326">
        <f t="shared" si="822"/>
        <v>56587.31</v>
      </c>
      <c r="AG146" s="329">
        <f t="shared" si="823"/>
        <v>283</v>
      </c>
      <c r="AH146" s="355">
        <f t="shared" si="824"/>
        <v>3.3619963000647601</v>
      </c>
      <c r="AI146" s="326">
        <f t="shared" si="825"/>
        <v>12570.920000000013</v>
      </c>
      <c r="AJ146" s="329">
        <f t="shared" si="826"/>
        <v>62</v>
      </c>
      <c r="AK146" s="355">
        <f t="shared" si="827"/>
        <v>0.74670144582881903</v>
      </c>
      <c r="AL146" s="379"/>
      <c r="AM146" s="380"/>
      <c r="AN146" s="394"/>
      <c r="AO146" s="326">
        <f t="shared" si="828"/>
        <v>24389.369999999995</v>
      </c>
      <c r="AP146" s="329">
        <f t="shared" si="829"/>
        <v>124</v>
      </c>
      <c r="AQ146" s="355">
        <f t="shared" si="830"/>
        <v>0.84263462665043676</v>
      </c>
      <c r="AR146" s="326">
        <f t="shared" si="831"/>
        <v>18075.03</v>
      </c>
      <c r="AS146" s="329">
        <f t="shared" si="832"/>
        <v>101</v>
      </c>
      <c r="AT146" s="355">
        <f t="shared" si="833"/>
        <v>-1.0555033700362344</v>
      </c>
      <c r="AU146" s="326">
        <f t="shared" si="834"/>
        <v>7440.890000000014</v>
      </c>
      <c r="AV146" s="329">
        <f t="shared" si="835"/>
        <v>-42</v>
      </c>
      <c r="AW146" s="355">
        <f t="shared" si="836"/>
        <v>13.061357138601778</v>
      </c>
      <c r="AX146" s="326">
        <f t="shared" si="845"/>
        <v>30475.540000000008</v>
      </c>
      <c r="AY146" s="329">
        <f t="shared" si="846"/>
        <v>154</v>
      </c>
      <c r="AZ146" s="355">
        <f t="shared" si="847"/>
        <v>1.2669357523540157</v>
      </c>
      <c r="BA146" s="326">
        <f t="shared" si="837"/>
        <v>-2698.4500000000116</v>
      </c>
      <c r="BB146" s="329">
        <f t="shared" si="838"/>
        <v>4</v>
      </c>
      <c r="BC146" s="355">
        <f t="shared" si="839"/>
        <v>-3.0490666350508207</v>
      </c>
      <c r="BD146" s="326"/>
      <c r="BE146" s="329"/>
      <c r="BF146" s="329"/>
      <c r="BG146" s="326">
        <f t="shared" si="848"/>
        <v>25514.608750000003</v>
      </c>
      <c r="BH146" s="329">
        <f t="shared" si="849"/>
        <v>126.3125</v>
      </c>
      <c r="BI146" s="355">
        <f t="shared" si="849"/>
        <v>1.2114247543443284</v>
      </c>
      <c r="BJ146" s="326">
        <f t="shared" si="850"/>
        <v>-2698.4500000000116</v>
      </c>
      <c r="BK146" s="329">
        <f t="shared" si="851"/>
        <v>-42</v>
      </c>
      <c r="BL146" s="355">
        <f t="shared" si="852"/>
        <v>-12.605157583329657</v>
      </c>
      <c r="BM146" s="326">
        <f t="shared" si="853"/>
        <v>61961.279999999999</v>
      </c>
      <c r="BN146" s="329">
        <f t="shared" si="854"/>
        <v>377</v>
      </c>
      <c r="BO146" s="355">
        <f t="shared" si="855"/>
        <v>13.061357138601778</v>
      </c>
    </row>
    <row r="147" spans="1:67" hidden="1" outlineLevel="1" x14ac:dyDescent="0.25">
      <c r="A147" s="833">
        <v>10</v>
      </c>
      <c r="B147" s="327">
        <f t="shared" si="792"/>
        <v>49396.06</v>
      </c>
      <c r="C147" s="330">
        <f t="shared" si="793"/>
        <v>320</v>
      </c>
      <c r="D147" s="356">
        <f t="shared" si="794"/>
        <v>-13.04118729904485</v>
      </c>
      <c r="E147" s="327">
        <f t="shared" si="795"/>
        <v>35617.549999999988</v>
      </c>
      <c r="F147" s="330">
        <f t="shared" si="796"/>
        <v>206</v>
      </c>
      <c r="G147" s="356">
        <f t="shared" si="797"/>
        <v>-3.5019277377881508</v>
      </c>
      <c r="H147" s="327">
        <f t="shared" si="798"/>
        <v>39177.5</v>
      </c>
      <c r="I147" s="330">
        <f t="shared" si="799"/>
        <v>167</v>
      </c>
      <c r="J147" s="356">
        <f t="shared" si="800"/>
        <v>7.4209572153734484</v>
      </c>
      <c r="K147" s="327">
        <f t="shared" si="801"/>
        <v>37304.799999999988</v>
      </c>
      <c r="L147" s="330">
        <f t="shared" si="802"/>
        <v>152</v>
      </c>
      <c r="M147" s="356">
        <f t="shared" si="803"/>
        <v>8.2543275343748235</v>
      </c>
      <c r="N147" s="327">
        <f t="shared" si="804"/>
        <v>983.33999999999651</v>
      </c>
      <c r="O147" s="330">
        <f t="shared" si="805"/>
        <v>-4</v>
      </c>
      <c r="P147" s="356">
        <f t="shared" si="806"/>
        <v>1.4682205254192411</v>
      </c>
      <c r="Q147" s="327">
        <f t="shared" si="807"/>
        <v>37968.640000000014</v>
      </c>
      <c r="R147" s="330">
        <f t="shared" si="808"/>
        <v>172</v>
      </c>
      <c r="S147" s="356">
        <f t="shared" si="809"/>
        <v>5.3227224204654249</v>
      </c>
      <c r="T147" s="327">
        <f t="shared" si="810"/>
        <v>23623.929999999993</v>
      </c>
      <c r="U147" s="330">
        <f t="shared" si="811"/>
        <v>130</v>
      </c>
      <c r="V147" s="356">
        <f t="shared" si="812"/>
        <v>-0.96015223601165189</v>
      </c>
      <c r="W147" s="327">
        <f t="shared" si="813"/>
        <v>34436.040000000008</v>
      </c>
      <c r="X147" s="330">
        <f t="shared" si="814"/>
        <v>214</v>
      </c>
      <c r="Y147" s="356">
        <f t="shared" si="815"/>
        <v>-6.3174902462558009</v>
      </c>
      <c r="Z147" s="327">
        <f t="shared" si="816"/>
        <v>10591.529999999999</v>
      </c>
      <c r="AA147" s="330">
        <f t="shared" si="817"/>
        <v>57</v>
      </c>
      <c r="AB147" s="356">
        <f t="shared" si="818"/>
        <v>-0.18625421319796942</v>
      </c>
      <c r="AC147" s="327">
        <f t="shared" si="819"/>
        <v>38394.100000000006</v>
      </c>
      <c r="AD147" s="330">
        <f t="shared" si="820"/>
        <v>170</v>
      </c>
      <c r="AE147" s="356">
        <f t="shared" si="821"/>
        <v>6.107109106960138</v>
      </c>
      <c r="AF147" s="327">
        <f t="shared" si="822"/>
        <v>53986.06</v>
      </c>
      <c r="AG147" s="330">
        <f t="shared" si="823"/>
        <v>262</v>
      </c>
      <c r="AH147" s="356">
        <f t="shared" si="824"/>
        <v>4.7163640476715898</v>
      </c>
      <c r="AI147" s="327">
        <f t="shared" si="825"/>
        <v>12595.130000000005</v>
      </c>
      <c r="AJ147" s="330">
        <f t="shared" si="826"/>
        <v>73</v>
      </c>
      <c r="AK147" s="356">
        <f t="shared" si="827"/>
        <v>-1.116153437724563</v>
      </c>
      <c r="AL147" s="379"/>
      <c r="AM147" s="380"/>
      <c r="AN147" s="394"/>
      <c r="AO147" s="327">
        <f t="shared" si="828"/>
        <v>24541.47</v>
      </c>
      <c r="AP147" s="330">
        <f t="shared" si="829"/>
        <v>122</v>
      </c>
      <c r="AQ147" s="356">
        <f t="shared" si="830"/>
        <v>1.3428291830284422</v>
      </c>
      <c r="AR147" s="327">
        <f t="shared" si="831"/>
        <v>15122.910000000003</v>
      </c>
      <c r="AS147" s="330">
        <f t="shared" si="832"/>
        <v>86</v>
      </c>
      <c r="AT147" s="356">
        <f t="shared" si="833"/>
        <v>-1.0706525343658484</v>
      </c>
      <c r="AU147" s="327">
        <f t="shared" si="834"/>
        <v>12314.73000000001</v>
      </c>
      <c r="AV147" s="330">
        <f t="shared" si="835"/>
        <v>-19</v>
      </c>
      <c r="AW147" s="356">
        <f t="shared" si="836"/>
        <v>13.251528168150912</v>
      </c>
      <c r="AX147" s="327">
        <f t="shared" si="845"/>
        <v>36575.239999999991</v>
      </c>
      <c r="AY147" s="330">
        <f t="shared" si="846"/>
        <v>188</v>
      </c>
      <c r="AZ147" s="356">
        <f t="shared" si="847"/>
        <v>0.95640993167123156</v>
      </c>
      <c r="BA147" s="327">
        <f t="shared" si="837"/>
        <v>942.82999999998719</v>
      </c>
      <c r="BB147" s="330">
        <f t="shared" si="838"/>
        <v>26</v>
      </c>
      <c r="BC147" s="356">
        <f t="shared" si="839"/>
        <v>-3.4463425869004141</v>
      </c>
      <c r="BD147" s="327"/>
      <c r="BE147" s="330"/>
      <c r="BF147" s="330"/>
      <c r="BG147" s="327">
        <f t="shared" si="848"/>
        <v>25599.112499999996</v>
      </c>
      <c r="BH147" s="330">
        <f t="shared" si="849"/>
        <v>128.75</v>
      </c>
      <c r="BI147" s="356">
        <f t="shared" si="849"/>
        <v>0.90524648713465083</v>
      </c>
      <c r="BJ147" s="327">
        <f t="shared" si="850"/>
        <v>942.82999999998719</v>
      </c>
      <c r="BK147" s="330">
        <f t="shared" si="851"/>
        <v>-19</v>
      </c>
      <c r="BL147" s="356">
        <f t="shared" si="852"/>
        <v>-13.04118729904485</v>
      </c>
      <c r="BM147" s="327">
        <f t="shared" si="853"/>
        <v>49396.06</v>
      </c>
      <c r="BN147" s="330">
        <f t="shared" si="854"/>
        <v>320</v>
      </c>
      <c r="BO147" s="356">
        <f t="shared" si="855"/>
        <v>13.251528168150912</v>
      </c>
    </row>
    <row r="148" spans="1:67" hidden="1" outlineLevel="1" x14ac:dyDescent="0.25">
      <c r="A148" s="833">
        <v>11</v>
      </c>
      <c r="B148" s="326">
        <f t="shared" si="792"/>
        <v>37339.670000000013</v>
      </c>
      <c r="C148" s="329">
        <f t="shared" si="793"/>
        <v>256</v>
      </c>
      <c r="D148" s="355">
        <f t="shared" si="794"/>
        <v>-11.732324955280291</v>
      </c>
      <c r="E148" s="326">
        <f t="shared" si="795"/>
        <v>36765.089999999997</v>
      </c>
      <c r="F148" s="329">
        <f t="shared" si="796"/>
        <v>216</v>
      </c>
      <c r="G148" s="355">
        <f t="shared" si="797"/>
        <v>-4.203570727099617</v>
      </c>
      <c r="H148" s="326">
        <f t="shared" si="798"/>
        <v>35975.399999999994</v>
      </c>
      <c r="I148" s="329">
        <f t="shared" si="799"/>
        <v>147</v>
      </c>
      <c r="J148" s="355">
        <f t="shared" si="800"/>
        <v>7.6402784203221472</v>
      </c>
      <c r="K148" s="326">
        <f t="shared" si="801"/>
        <v>37002.720000000001</v>
      </c>
      <c r="L148" s="329">
        <f t="shared" si="802"/>
        <v>146</v>
      </c>
      <c r="M148" s="355">
        <f t="shared" si="803"/>
        <v>8.7778261346579995</v>
      </c>
      <c r="N148" s="326">
        <f t="shared" si="804"/>
        <v>1761.6700000000128</v>
      </c>
      <c r="O148" s="329">
        <f t="shared" si="805"/>
        <v>-1</v>
      </c>
      <c r="P148" s="355">
        <f t="shared" si="806"/>
        <v>1.6125648750077062</v>
      </c>
      <c r="Q148" s="326">
        <f t="shared" si="807"/>
        <v>34999.040000000008</v>
      </c>
      <c r="R148" s="329">
        <f t="shared" si="808"/>
        <v>152</v>
      </c>
      <c r="S148" s="355">
        <f t="shared" si="809"/>
        <v>5.8561477659277443</v>
      </c>
      <c r="T148" s="326">
        <f t="shared" si="810"/>
        <v>24459.369999999995</v>
      </c>
      <c r="U148" s="329">
        <f t="shared" si="811"/>
        <v>125</v>
      </c>
      <c r="V148" s="355">
        <f t="shared" si="812"/>
        <v>0.7081943312609269</v>
      </c>
      <c r="W148" s="326">
        <f t="shared" si="813"/>
        <v>36274.850000000006</v>
      </c>
      <c r="X148" s="329">
        <f t="shared" si="814"/>
        <v>215</v>
      </c>
      <c r="Y148" s="355">
        <f t="shared" si="815"/>
        <v>-4.5018634137330196</v>
      </c>
      <c r="Z148" s="326">
        <f t="shared" si="816"/>
        <v>9739.2099999999919</v>
      </c>
      <c r="AA148" s="329">
        <f t="shared" si="817"/>
        <v>52</v>
      </c>
      <c r="AB148" s="355">
        <f t="shared" si="818"/>
        <v>-0.10071904536204102</v>
      </c>
      <c r="AC148" s="326">
        <f t="shared" si="819"/>
        <v>33424.489999999991</v>
      </c>
      <c r="AD148" s="329">
        <f t="shared" si="820"/>
        <v>147</v>
      </c>
      <c r="AE148" s="355">
        <f t="shared" si="821"/>
        <v>5.2382916029963553</v>
      </c>
      <c r="AF148" s="326">
        <f t="shared" si="822"/>
        <v>49732.920000000013</v>
      </c>
      <c r="AG148" s="329">
        <f t="shared" si="823"/>
        <v>237</v>
      </c>
      <c r="AH148" s="355">
        <f t="shared" si="824"/>
        <v>4.9521407346138631</v>
      </c>
      <c r="AI148" s="326">
        <f t="shared" si="825"/>
        <v>10492.649999999994</v>
      </c>
      <c r="AJ148" s="329">
        <f t="shared" si="826"/>
        <v>60</v>
      </c>
      <c r="AK148" s="355">
        <f t="shared" si="827"/>
        <v>-0.76532630596892659</v>
      </c>
      <c r="AL148" s="379"/>
      <c r="AM148" s="380"/>
      <c r="AN148" s="394"/>
      <c r="AO148" s="326">
        <f t="shared" si="828"/>
        <v>25012.459999999992</v>
      </c>
      <c r="AP148" s="329">
        <f t="shared" si="829"/>
        <v>126</v>
      </c>
      <c r="AQ148" s="355">
        <f t="shared" si="830"/>
        <v>1.0445421572738098</v>
      </c>
      <c r="AR148" s="326">
        <f t="shared" si="831"/>
        <v>13393.100000000006</v>
      </c>
      <c r="AS148" s="329">
        <f t="shared" si="832"/>
        <v>76</v>
      </c>
      <c r="AT148" s="355">
        <f t="shared" si="833"/>
        <v>-0.89271483292779408</v>
      </c>
      <c r="AU148" s="326">
        <f t="shared" si="834"/>
        <v>5647.3800000000047</v>
      </c>
      <c r="AV148" s="329">
        <f t="shared" si="835"/>
        <v>-14</v>
      </c>
      <c r="AW148" s="355">
        <f t="shared" si="836"/>
        <v>6.7872845319953399</v>
      </c>
      <c r="AX148" s="326">
        <f t="shared" si="845"/>
        <v>36143.910000000003</v>
      </c>
      <c r="AY148" s="329">
        <f t="shared" si="846"/>
        <v>182</v>
      </c>
      <c r="AZ148" s="355">
        <f t="shared" si="847"/>
        <v>1.6054656531708531</v>
      </c>
      <c r="BA148" s="326">
        <f t="shared" si="837"/>
        <v>-1023.1499999999942</v>
      </c>
      <c r="BB148" s="329">
        <f t="shared" si="838"/>
        <v>24</v>
      </c>
      <c r="BC148" s="355">
        <f t="shared" si="839"/>
        <v>-4.7020708609479414</v>
      </c>
      <c r="BD148" s="326"/>
      <c r="BE148" s="329"/>
      <c r="BF148" s="329"/>
      <c r="BG148" s="326">
        <f t="shared" si="848"/>
        <v>23587.991249999999</v>
      </c>
      <c r="BH148" s="329">
        <f t="shared" si="849"/>
        <v>119.3125</v>
      </c>
      <c r="BI148" s="355">
        <f t="shared" si="849"/>
        <v>0.77325033320582826</v>
      </c>
      <c r="BJ148" s="326">
        <f t="shared" si="850"/>
        <v>-1023.1499999999942</v>
      </c>
      <c r="BK148" s="329">
        <f t="shared" si="851"/>
        <v>-14</v>
      </c>
      <c r="BL148" s="355">
        <f t="shared" si="852"/>
        <v>-11.732324955280291</v>
      </c>
      <c r="BM148" s="326">
        <f t="shared" si="853"/>
        <v>37339.670000000013</v>
      </c>
      <c r="BN148" s="329">
        <f t="shared" si="854"/>
        <v>256</v>
      </c>
      <c r="BO148" s="355">
        <f t="shared" si="855"/>
        <v>8.7778261346579995</v>
      </c>
    </row>
    <row r="149" spans="1:67" hidden="1" outlineLevel="1" x14ac:dyDescent="0.25">
      <c r="A149" s="833">
        <v>12</v>
      </c>
      <c r="B149" s="327">
        <f t="shared" si="792"/>
        <v>31922.350000000006</v>
      </c>
      <c r="C149" s="330">
        <f t="shared" si="793"/>
        <v>211</v>
      </c>
      <c r="D149" s="356">
        <f t="shared" si="794"/>
        <v>-7.8658084951022715</v>
      </c>
      <c r="E149" s="327">
        <f t="shared" si="795"/>
        <v>36804.670000000013</v>
      </c>
      <c r="F149" s="330">
        <f t="shared" si="796"/>
        <v>210</v>
      </c>
      <c r="G149" s="356">
        <f t="shared" si="797"/>
        <v>-2.9575739479657841</v>
      </c>
      <c r="H149" s="327">
        <f t="shared" si="798"/>
        <v>38690.130000000005</v>
      </c>
      <c r="I149" s="330">
        <f t="shared" si="799"/>
        <v>158</v>
      </c>
      <c r="J149" s="356">
        <f t="shared" si="800"/>
        <v>7.9999008730413834</v>
      </c>
      <c r="K149" s="327">
        <f t="shared" si="801"/>
        <v>29171.26999999999</v>
      </c>
      <c r="L149" s="330">
        <f t="shared" si="802"/>
        <v>109</v>
      </c>
      <c r="M149" s="356">
        <f t="shared" si="803"/>
        <v>7.4639460306012495</v>
      </c>
      <c r="N149" s="327">
        <f t="shared" si="804"/>
        <v>4350.890000000014</v>
      </c>
      <c r="O149" s="330">
        <f t="shared" si="805"/>
        <v>8</v>
      </c>
      <c r="P149" s="356">
        <f t="shared" si="806"/>
        <v>2.2895670312616687</v>
      </c>
      <c r="Q149" s="327">
        <f t="shared" si="807"/>
        <v>33924.839999999997</v>
      </c>
      <c r="R149" s="330">
        <f t="shared" si="808"/>
        <v>141</v>
      </c>
      <c r="S149" s="356">
        <f t="shared" si="809"/>
        <v>6.483541994063188</v>
      </c>
      <c r="T149" s="327">
        <f t="shared" si="810"/>
        <v>26696.720000000001</v>
      </c>
      <c r="U149" s="330">
        <f t="shared" si="811"/>
        <v>131</v>
      </c>
      <c r="V149" s="356">
        <f t="shared" si="812"/>
        <v>1.6410052417930103</v>
      </c>
      <c r="W149" s="327">
        <f t="shared" si="813"/>
        <v>36249.26999999999</v>
      </c>
      <c r="X149" s="330">
        <f t="shared" si="814"/>
        <v>205</v>
      </c>
      <c r="Y149" s="356">
        <f t="shared" si="815"/>
        <v>-2.564715670373829</v>
      </c>
      <c r="Z149" s="327">
        <f t="shared" si="816"/>
        <v>11032.149999999994</v>
      </c>
      <c r="AA149" s="330">
        <f t="shared" si="817"/>
        <v>53</v>
      </c>
      <c r="AB149" s="356">
        <f t="shared" si="818"/>
        <v>0.81442262337941429</v>
      </c>
      <c r="AC149" s="327">
        <f t="shared" si="819"/>
        <v>30089.25</v>
      </c>
      <c r="AD149" s="330">
        <f t="shared" si="820"/>
        <v>155</v>
      </c>
      <c r="AE149" s="356">
        <f t="shared" si="821"/>
        <v>0.60965421318300628</v>
      </c>
      <c r="AF149" s="327">
        <f t="shared" si="822"/>
        <v>47473.929999999993</v>
      </c>
      <c r="AG149" s="330">
        <f t="shared" si="823"/>
        <v>227</v>
      </c>
      <c r="AH149" s="356">
        <f t="shared" si="824"/>
        <v>4.303480207667576</v>
      </c>
      <c r="AI149" s="327">
        <f t="shared" si="825"/>
        <v>11740.98000000001</v>
      </c>
      <c r="AJ149" s="330">
        <f t="shared" si="826"/>
        <v>62</v>
      </c>
      <c r="AK149" s="356">
        <f t="shared" si="827"/>
        <v>-2.4438514837044067E-2</v>
      </c>
      <c r="AL149" s="379"/>
      <c r="AM149" s="380"/>
      <c r="AN149" s="394"/>
      <c r="AO149" s="327">
        <f t="shared" si="828"/>
        <v>27229.010000000009</v>
      </c>
      <c r="AP149" s="330">
        <f t="shared" si="829"/>
        <v>132</v>
      </c>
      <c r="AQ149" s="356">
        <f t="shared" si="830"/>
        <v>1.9501643230604202</v>
      </c>
      <c r="AR149" s="327">
        <f t="shared" si="831"/>
        <v>12626.76999999999</v>
      </c>
      <c r="AS149" s="330">
        <f t="shared" si="832"/>
        <v>70</v>
      </c>
      <c r="AT149" s="356">
        <f t="shared" si="833"/>
        <v>-0.5632479535162247</v>
      </c>
      <c r="AU149" s="327">
        <f t="shared" si="834"/>
        <v>8329.7799999999988</v>
      </c>
      <c r="AV149" s="330">
        <f t="shared" si="835"/>
        <v>0</v>
      </c>
      <c r="AW149" s="356">
        <f t="shared" si="836"/>
        <v>6.6905863453815186</v>
      </c>
      <c r="AX149" s="327">
        <f t="shared" si="845"/>
        <v>38680.630000000005</v>
      </c>
      <c r="AY149" s="330">
        <f t="shared" si="846"/>
        <v>195</v>
      </c>
      <c r="AZ149" s="356">
        <f t="shared" si="847"/>
        <v>1.5832620768789241</v>
      </c>
      <c r="BA149" s="327">
        <f t="shared" si="837"/>
        <v>1854.5100000000093</v>
      </c>
      <c r="BB149" s="330">
        <f t="shared" si="838"/>
        <v>34</v>
      </c>
      <c r="BC149" s="356">
        <f t="shared" si="839"/>
        <v>-3.7984692195702792</v>
      </c>
      <c r="BD149" s="327"/>
      <c r="BE149" s="330"/>
      <c r="BF149" s="330"/>
      <c r="BG149" s="327">
        <f t="shared" si="848"/>
        <v>23712.076250000006</v>
      </c>
      <c r="BH149" s="330">
        <f t="shared" si="849"/>
        <v>117.125</v>
      </c>
      <c r="BI149" s="356">
        <f t="shared" si="849"/>
        <v>1.2344873094548969</v>
      </c>
      <c r="BJ149" s="327">
        <f t="shared" si="850"/>
        <v>1854.5100000000093</v>
      </c>
      <c r="BK149" s="330">
        <f t="shared" si="851"/>
        <v>0</v>
      </c>
      <c r="BL149" s="356">
        <f t="shared" si="852"/>
        <v>-7.8658084951022715</v>
      </c>
      <c r="BM149" s="327">
        <f t="shared" si="853"/>
        <v>38690.130000000005</v>
      </c>
      <c r="BN149" s="330">
        <f t="shared" si="854"/>
        <v>211</v>
      </c>
      <c r="BO149" s="356">
        <f t="shared" si="855"/>
        <v>7.9999008730413834</v>
      </c>
    </row>
    <row r="150" spans="1:67" hidden="1" outlineLevel="1" x14ac:dyDescent="0.25">
      <c r="A150" s="833">
        <v>13</v>
      </c>
      <c r="B150" s="326">
        <f t="shared" si="792"/>
        <v>32447.899999999994</v>
      </c>
      <c r="C150" s="329">
        <f t="shared" si="793"/>
        <v>212</v>
      </c>
      <c r="D150" s="355">
        <f t="shared" si="794"/>
        <v>-7.4413962152638931</v>
      </c>
      <c r="E150" s="326">
        <f t="shared" si="795"/>
        <v>34563.420000000013</v>
      </c>
      <c r="F150" s="329">
        <f t="shared" si="796"/>
        <v>190</v>
      </c>
      <c r="G150" s="355">
        <f t="shared" si="797"/>
        <v>-1.4421779197528224</v>
      </c>
      <c r="H150" s="326">
        <f t="shared" si="798"/>
        <v>35439.890000000014</v>
      </c>
      <c r="I150" s="329">
        <f t="shared" si="799"/>
        <v>139</v>
      </c>
      <c r="J150" s="355">
        <f t="shared" si="800"/>
        <v>7.9944258999591398</v>
      </c>
      <c r="K150" s="326">
        <f t="shared" si="801"/>
        <v>28441.75</v>
      </c>
      <c r="L150" s="329">
        <f t="shared" si="802"/>
        <v>102</v>
      </c>
      <c r="M150" s="355">
        <f t="shared" si="803"/>
        <v>7.7706557343730367</v>
      </c>
      <c r="N150" s="326">
        <f t="shared" si="804"/>
        <v>5215.6000000000058</v>
      </c>
      <c r="O150" s="329">
        <f t="shared" si="805"/>
        <v>14</v>
      </c>
      <c r="P150" s="355">
        <f t="shared" si="806"/>
        <v>2.0386061298188167</v>
      </c>
      <c r="Q150" s="326">
        <f t="shared" si="807"/>
        <v>31268.589999999997</v>
      </c>
      <c r="R150" s="329">
        <f t="shared" si="808"/>
        <v>124</v>
      </c>
      <c r="S150" s="355">
        <f t="shared" si="809"/>
        <v>6.7346688915266668</v>
      </c>
      <c r="T150" s="326">
        <f t="shared" si="810"/>
        <v>21390.910000000003</v>
      </c>
      <c r="U150" s="329">
        <f t="shared" si="811"/>
        <v>105</v>
      </c>
      <c r="V150" s="355">
        <f t="shared" si="812"/>
        <v>1.2321093846578037</v>
      </c>
      <c r="W150" s="326">
        <f t="shared" si="813"/>
        <v>34101</v>
      </c>
      <c r="X150" s="329">
        <f t="shared" si="814"/>
        <v>187</v>
      </c>
      <c r="Y150" s="355">
        <f t="shared" si="815"/>
        <v>-1.3383174018533168</v>
      </c>
      <c r="Z150" s="326">
        <f t="shared" si="816"/>
        <v>11407.760000000009</v>
      </c>
      <c r="AA150" s="329">
        <f t="shared" si="817"/>
        <v>52</v>
      </c>
      <c r="AB150" s="355">
        <f t="shared" si="818"/>
        <v>1.2536661372413391</v>
      </c>
      <c r="AC150" s="326">
        <f t="shared" si="819"/>
        <v>32429.940000000002</v>
      </c>
      <c r="AD150" s="329">
        <f t="shared" si="820"/>
        <v>170</v>
      </c>
      <c r="AE150" s="355">
        <f t="shared" si="821"/>
        <v>0.10487379298783139</v>
      </c>
      <c r="AF150" s="326">
        <f t="shared" si="822"/>
        <v>43709.630000000005</v>
      </c>
      <c r="AG150" s="329">
        <f t="shared" si="823"/>
        <v>197</v>
      </c>
      <c r="AH150" s="355">
        <f t="shared" si="824"/>
        <v>5.8526832904277626</v>
      </c>
      <c r="AI150" s="326">
        <f t="shared" si="825"/>
        <v>12925.75</v>
      </c>
      <c r="AJ150" s="329">
        <f t="shared" si="826"/>
        <v>63</v>
      </c>
      <c r="AK150" s="355">
        <f t="shared" si="827"/>
        <v>0.78922812540150744</v>
      </c>
      <c r="AL150" s="379"/>
      <c r="AM150" s="380"/>
      <c r="AN150" s="394"/>
      <c r="AO150" s="326">
        <f t="shared" si="828"/>
        <v>24966.619999999995</v>
      </c>
      <c r="AP150" s="329">
        <f t="shared" si="829"/>
        <v>119</v>
      </c>
      <c r="AQ150" s="355">
        <f t="shared" si="830"/>
        <v>2.0437235066509913</v>
      </c>
      <c r="AR150" s="326">
        <f t="shared" si="831"/>
        <v>8492.7699999999895</v>
      </c>
      <c r="AS150" s="329">
        <f t="shared" si="832"/>
        <v>44</v>
      </c>
      <c r="AT150" s="355">
        <f t="shared" si="833"/>
        <v>0.10540901466950459</v>
      </c>
      <c r="AU150" s="326">
        <f t="shared" si="834"/>
        <v>8410.5299999999988</v>
      </c>
      <c r="AV150" s="329">
        <f t="shared" si="835"/>
        <v>0</v>
      </c>
      <c r="AW150" s="355">
        <f t="shared" si="836"/>
        <v>6.6381452249407857</v>
      </c>
      <c r="AX150" s="326">
        <f t="shared" si="845"/>
        <v>37667.630000000005</v>
      </c>
      <c r="AY150" s="329">
        <f t="shared" si="846"/>
        <v>187</v>
      </c>
      <c r="AZ150" s="355">
        <f t="shared" si="847"/>
        <v>1.9641177833318579</v>
      </c>
      <c r="BA150" s="326">
        <f t="shared" si="837"/>
        <v>1730.109999999986</v>
      </c>
      <c r="BB150" s="329">
        <f t="shared" si="838"/>
        <v>30</v>
      </c>
      <c r="BC150" s="355">
        <f t="shared" si="839"/>
        <v>-3.2114133029282073</v>
      </c>
      <c r="BD150" s="326"/>
      <c r="BE150" s="329"/>
      <c r="BF150" s="329"/>
      <c r="BG150" s="326">
        <f t="shared" si="848"/>
        <v>22556.260625000003</v>
      </c>
      <c r="BH150" s="329">
        <f t="shared" si="849"/>
        <v>108.625</v>
      </c>
      <c r="BI150" s="355">
        <f t="shared" si="849"/>
        <v>1.5772702991100651</v>
      </c>
      <c r="BJ150" s="326">
        <f t="shared" si="850"/>
        <v>1730.109999999986</v>
      </c>
      <c r="BK150" s="329">
        <f t="shared" si="851"/>
        <v>0</v>
      </c>
      <c r="BL150" s="355">
        <f t="shared" si="852"/>
        <v>-7.4413962152638931</v>
      </c>
      <c r="BM150" s="326">
        <f t="shared" si="853"/>
        <v>37667.630000000005</v>
      </c>
      <c r="BN150" s="329">
        <f t="shared" si="854"/>
        <v>212</v>
      </c>
      <c r="BO150" s="355">
        <f t="shared" si="855"/>
        <v>7.9944258999591398</v>
      </c>
    </row>
    <row r="151" spans="1:67" hidden="1" outlineLevel="1" x14ac:dyDescent="0.25">
      <c r="A151" s="833">
        <v>14</v>
      </c>
      <c r="B151" s="327">
        <f t="shared" si="792"/>
        <v>36879.73000000001</v>
      </c>
      <c r="C151" s="330">
        <f t="shared" si="793"/>
        <v>216</v>
      </c>
      <c r="D151" s="356">
        <f t="shared" si="794"/>
        <v>-3.8247337625071793</v>
      </c>
      <c r="E151" s="327">
        <f t="shared" si="795"/>
        <v>34248.109999999986</v>
      </c>
      <c r="F151" s="330">
        <f t="shared" si="796"/>
        <v>190</v>
      </c>
      <c r="G151" s="356">
        <f t="shared" si="797"/>
        <v>-1.6783350531099757</v>
      </c>
      <c r="H151" s="327">
        <f t="shared" si="798"/>
        <v>40804.609999999986</v>
      </c>
      <c r="I151" s="330">
        <f t="shared" si="799"/>
        <v>167</v>
      </c>
      <c r="J151" s="356">
        <f t="shared" si="800"/>
        <v>7.8851218916662731</v>
      </c>
      <c r="K151" s="327">
        <f t="shared" si="801"/>
        <v>29578.48000000001</v>
      </c>
      <c r="L151" s="330">
        <f t="shared" si="802"/>
        <v>109</v>
      </c>
      <c r="M151" s="356">
        <f t="shared" si="803"/>
        <v>7.3432815576902613</v>
      </c>
      <c r="N151" s="327">
        <f t="shared" si="804"/>
        <v>8544.070000000007</v>
      </c>
      <c r="O151" s="330">
        <f t="shared" si="805"/>
        <v>33</v>
      </c>
      <c r="P151" s="356">
        <f t="shared" si="806"/>
        <v>1.7705446658040387</v>
      </c>
      <c r="Q151" s="327">
        <f t="shared" si="807"/>
        <v>30208.399999999994</v>
      </c>
      <c r="R151" s="330">
        <f t="shared" si="808"/>
        <v>115</v>
      </c>
      <c r="S151" s="356">
        <f t="shared" si="809"/>
        <v>6.9536972083534749</v>
      </c>
      <c r="T151" s="327">
        <f t="shared" si="810"/>
        <v>21310.040000000008</v>
      </c>
      <c r="U151" s="330">
        <f t="shared" si="811"/>
        <v>104</v>
      </c>
      <c r="V151" s="356">
        <f t="shared" si="812"/>
        <v>1.2653914990502813</v>
      </c>
      <c r="W151" s="327">
        <f t="shared" si="813"/>
        <v>32986.700000000012</v>
      </c>
      <c r="X151" s="330">
        <f t="shared" si="814"/>
        <v>176</v>
      </c>
      <c r="Y151" s="356">
        <f t="shared" si="815"/>
        <v>-0.42646061209148911</v>
      </c>
      <c r="Z151" s="327">
        <f t="shared" si="816"/>
        <v>12391.309999999998</v>
      </c>
      <c r="AA151" s="330">
        <f t="shared" si="817"/>
        <v>49</v>
      </c>
      <c r="AB151" s="356">
        <f t="shared" si="818"/>
        <v>2.4287727423129297</v>
      </c>
      <c r="AC151" s="327">
        <f t="shared" si="819"/>
        <v>35308.420000000013</v>
      </c>
      <c r="AD151" s="330">
        <f t="shared" si="820"/>
        <v>188</v>
      </c>
      <c r="AE151" s="356">
        <f t="shared" si="821"/>
        <v>-0.39589238451327446</v>
      </c>
      <c r="AF151" s="327">
        <f t="shared" si="822"/>
        <v>40206.890000000014</v>
      </c>
      <c r="AG151" s="330">
        <f t="shared" si="823"/>
        <v>178</v>
      </c>
      <c r="AH151" s="356">
        <f t="shared" si="824"/>
        <v>5.5937623668188792</v>
      </c>
      <c r="AI151" s="327">
        <f t="shared" si="825"/>
        <v>17212.940000000002</v>
      </c>
      <c r="AJ151" s="330">
        <f t="shared" si="826"/>
        <v>84</v>
      </c>
      <c r="AK151" s="356">
        <f t="shared" si="827"/>
        <v>1.0062288302335105</v>
      </c>
      <c r="AL151" s="379"/>
      <c r="AM151" s="380"/>
      <c r="AN151" s="394"/>
      <c r="AO151" s="327">
        <f t="shared" si="828"/>
        <v>24509.760000000009</v>
      </c>
      <c r="AP151" s="330">
        <f t="shared" si="829"/>
        <v>121</v>
      </c>
      <c r="AQ151" s="356">
        <f t="shared" si="830"/>
        <v>1.2554498144299373</v>
      </c>
      <c r="AR151" s="327">
        <f t="shared" si="831"/>
        <v>6576.3099999999977</v>
      </c>
      <c r="AS151" s="330">
        <f t="shared" si="832"/>
        <v>37</v>
      </c>
      <c r="AT151" s="356">
        <f t="shared" si="833"/>
        <v>-0.36054802863924351</v>
      </c>
      <c r="AU151" s="327">
        <f t="shared" si="834"/>
        <v>12931.48000000001</v>
      </c>
      <c r="AV151" s="330">
        <f t="shared" si="835"/>
        <v>25</v>
      </c>
      <c r="AW151" s="356">
        <f t="shared" si="836"/>
        <v>6.3436251480446231</v>
      </c>
      <c r="AX151" s="327">
        <f t="shared" si="845"/>
        <v>35694.859999999986</v>
      </c>
      <c r="AY151" s="330">
        <f t="shared" si="846"/>
        <v>172</v>
      </c>
      <c r="AZ151" s="356">
        <f t="shared" si="847"/>
        <v>2.6125878922129004</v>
      </c>
      <c r="BA151" s="327">
        <f t="shared" si="837"/>
        <v>3279.3299999999872</v>
      </c>
      <c r="BB151" s="330">
        <f t="shared" si="838"/>
        <v>35</v>
      </c>
      <c r="BC151" s="356">
        <f t="shared" si="839"/>
        <v>-2.6403722109762953</v>
      </c>
      <c r="BD151" s="327"/>
      <c r="BE151" s="330"/>
      <c r="BF151" s="330"/>
      <c r="BG151" s="327">
        <f t="shared" si="848"/>
        <v>23904.034374999996</v>
      </c>
      <c r="BH151" s="330">
        <f t="shared" si="849"/>
        <v>113.8125</v>
      </c>
      <c r="BI151" s="356">
        <f t="shared" si="849"/>
        <v>1.8461474498725483</v>
      </c>
      <c r="BJ151" s="327">
        <f t="shared" si="850"/>
        <v>3279.3299999999872</v>
      </c>
      <c r="BK151" s="330">
        <f t="shared" si="851"/>
        <v>25</v>
      </c>
      <c r="BL151" s="356">
        <f t="shared" si="852"/>
        <v>-3.8247337625071793</v>
      </c>
      <c r="BM151" s="327">
        <f t="shared" si="853"/>
        <v>40804.609999999986</v>
      </c>
      <c r="BN151" s="330">
        <f t="shared" si="854"/>
        <v>216</v>
      </c>
      <c r="BO151" s="356">
        <f t="shared" si="855"/>
        <v>7.8851218916662731</v>
      </c>
    </row>
    <row r="152" spans="1:67" hidden="1" outlineLevel="1" x14ac:dyDescent="0.25">
      <c r="A152" s="833">
        <v>15</v>
      </c>
      <c r="B152" s="326">
        <f t="shared" si="792"/>
        <v>36987.359999999986</v>
      </c>
      <c r="C152" s="329">
        <f t="shared" si="793"/>
        <v>230</v>
      </c>
      <c r="D152" s="355">
        <f t="shared" si="794"/>
        <v>-5.6892798510491502</v>
      </c>
      <c r="E152" s="326">
        <f t="shared" si="795"/>
        <v>34544.81</v>
      </c>
      <c r="F152" s="329">
        <f t="shared" si="796"/>
        <v>199</v>
      </c>
      <c r="G152" s="355">
        <f t="shared" si="797"/>
        <v>-2.6324899972338187</v>
      </c>
      <c r="H152" s="326">
        <f t="shared" si="798"/>
        <v>46742.380000000005</v>
      </c>
      <c r="I152" s="329">
        <f t="shared" si="799"/>
        <v>201</v>
      </c>
      <c r="J152" s="355">
        <f t="shared" si="800"/>
        <v>7.4219618258287881</v>
      </c>
      <c r="K152" s="326">
        <f t="shared" si="801"/>
        <v>34250.01999999999</v>
      </c>
      <c r="L152" s="329">
        <f t="shared" si="802"/>
        <v>145</v>
      </c>
      <c r="M152" s="355">
        <f t="shared" si="803"/>
        <v>5.5414465692479098</v>
      </c>
      <c r="N152" s="326">
        <f t="shared" si="804"/>
        <v>3021.109999999986</v>
      </c>
      <c r="O152" s="329">
        <f t="shared" si="805"/>
        <v>10</v>
      </c>
      <c r="P152" s="355">
        <f t="shared" si="806"/>
        <v>0.82685897545030684</v>
      </c>
      <c r="Q152" s="326">
        <f t="shared" si="807"/>
        <v>33106.75</v>
      </c>
      <c r="R152" s="329">
        <f t="shared" si="808"/>
        <v>137</v>
      </c>
      <c r="S152" s="355">
        <f t="shared" si="809"/>
        <v>5.8043157694690137</v>
      </c>
      <c r="T152" s="326">
        <f t="shared" si="810"/>
        <v>18256.450000000012</v>
      </c>
      <c r="U152" s="329">
        <f t="shared" si="811"/>
        <v>91</v>
      </c>
      <c r="V152" s="355">
        <f t="shared" si="812"/>
        <v>0.81144138539499977</v>
      </c>
      <c r="W152" s="326">
        <f t="shared" si="813"/>
        <v>32648.359999999986</v>
      </c>
      <c r="X152" s="329">
        <f t="shared" si="814"/>
        <v>181</v>
      </c>
      <c r="Y152" s="355">
        <f t="shared" si="815"/>
        <v>-1.3305218205702261</v>
      </c>
      <c r="Z152" s="326">
        <f t="shared" si="816"/>
        <v>12490.489999999991</v>
      </c>
      <c r="AA152" s="329">
        <f t="shared" si="817"/>
        <v>58</v>
      </c>
      <c r="AB152" s="355">
        <f t="shared" si="818"/>
        <v>1.1525722994671241</v>
      </c>
      <c r="AC152" s="326">
        <f t="shared" si="819"/>
        <v>34709.489999999991</v>
      </c>
      <c r="AD152" s="329">
        <f t="shared" si="820"/>
        <v>215</v>
      </c>
      <c r="AE152" s="355">
        <f t="shared" si="821"/>
        <v>-5.1338102928509954</v>
      </c>
      <c r="AF152" s="326">
        <f t="shared" si="822"/>
        <v>35141.920000000013</v>
      </c>
      <c r="AG152" s="329">
        <f t="shared" si="823"/>
        <v>190</v>
      </c>
      <c r="AH152" s="355">
        <f t="shared" si="824"/>
        <v>-0.6735852876583408</v>
      </c>
      <c r="AI152" s="326">
        <f t="shared" si="825"/>
        <v>22487.399999999994</v>
      </c>
      <c r="AJ152" s="329">
        <f t="shared" si="826"/>
        <v>117</v>
      </c>
      <c r="AK152" s="355">
        <f t="shared" si="827"/>
        <v>0.28231812346453466</v>
      </c>
      <c r="AL152" s="379"/>
      <c r="AM152" s="380"/>
      <c r="AN152" s="394"/>
      <c r="AO152" s="326">
        <f t="shared" si="828"/>
        <v>23047.559999999998</v>
      </c>
      <c r="AP152" s="329">
        <f t="shared" si="829"/>
        <v>125</v>
      </c>
      <c r="AQ152" s="355">
        <f t="shared" si="830"/>
        <v>-0.47777617440931408</v>
      </c>
      <c r="AR152" s="326">
        <f t="shared" si="831"/>
        <v>6205.8099999999977</v>
      </c>
      <c r="AS152" s="329">
        <f t="shared" si="832"/>
        <v>36</v>
      </c>
      <c r="AT152" s="355">
        <f t="shared" si="833"/>
        <v>-0.45076440472058721</v>
      </c>
      <c r="AU152" s="326">
        <f t="shared" si="834"/>
        <v>14967.329999999987</v>
      </c>
      <c r="AV152" s="329">
        <f t="shared" si="835"/>
        <v>56</v>
      </c>
      <c r="AW152" s="355">
        <f t="shared" si="836"/>
        <v>3.3138291050035207</v>
      </c>
      <c r="AX152" s="326">
        <f t="shared" si="845"/>
        <v>22238.119999999995</v>
      </c>
      <c r="AY152" s="329">
        <f t="shared" si="846"/>
        <v>110</v>
      </c>
      <c r="AZ152" s="355">
        <f t="shared" si="847"/>
        <v>1.1297732741834636</v>
      </c>
      <c r="BA152" s="326">
        <f t="shared" si="837"/>
        <v>9498.0899999999965</v>
      </c>
      <c r="BB152" s="329">
        <f t="shared" si="838"/>
        <v>73</v>
      </c>
      <c r="BC152" s="355">
        <f t="shared" si="839"/>
        <v>-3.3083197763658063</v>
      </c>
      <c r="BD152" s="326"/>
      <c r="BE152" s="329"/>
      <c r="BF152" s="329"/>
      <c r="BG152" s="326">
        <f t="shared" si="848"/>
        <v>24075.095624999994</v>
      </c>
      <c r="BH152" s="329">
        <f t="shared" si="849"/>
        <v>124</v>
      </c>
      <c r="BI152" s="355">
        <f t="shared" si="849"/>
        <v>0.4538471881443602</v>
      </c>
      <c r="BJ152" s="326">
        <f t="shared" si="850"/>
        <v>3021.109999999986</v>
      </c>
      <c r="BK152" s="329">
        <f t="shared" si="851"/>
        <v>10</v>
      </c>
      <c r="BL152" s="355">
        <f t="shared" si="852"/>
        <v>-5.6892798510491502</v>
      </c>
      <c r="BM152" s="326">
        <f t="shared" si="853"/>
        <v>46742.380000000005</v>
      </c>
      <c r="BN152" s="329">
        <f t="shared" si="854"/>
        <v>230</v>
      </c>
      <c r="BO152" s="355">
        <f t="shared" si="855"/>
        <v>7.4219618258287881</v>
      </c>
    </row>
    <row r="153" spans="1:67" hidden="1" outlineLevel="1" x14ac:dyDescent="0.25">
      <c r="A153" s="833">
        <v>16</v>
      </c>
      <c r="B153" s="327">
        <f t="shared" si="792"/>
        <v>32519.559999999998</v>
      </c>
      <c r="C153" s="330">
        <f t="shared" si="793"/>
        <v>210</v>
      </c>
      <c r="D153" s="356">
        <f t="shared" si="794"/>
        <v>-5.937884397163117</v>
      </c>
      <c r="E153" s="327">
        <f t="shared" si="795"/>
        <v>26581.570000000007</v>
      </c>
      <c r="F153" s="330">
        <f t="shared" si="796"/>
        <v>168</v>
      </c>
      <c r="G153" s="356">
        <f t="shared" si="797"/>
        <v>-4.1340153150374874</v>
      </c>
      <c r="H153" s="327">
        <f t="shared" si="798"/>
        <v>44233.69</v>
      </c>
      <c r="I153" s="330">
        <f t="shared" si="799"/>
        <v>188</v>
      </c>
      <c r="J153" s="356">
        <f t="shared" si="800"/>
        <v>7.1538106928532557</v>
      </c>
      <c r="K153" s="327">
        <f t="shared" si="801"/>
        <v>29879.739999999991</v>
      </c>
      <c r="L153" s="330">
        <f t="shared" si="802"/>
        <v>135</v>
      </c>
      <c r="M153" s="356">
        <f t="shared" si="803"/>
        <v>3.4460038381309914</v>
      </c>
      <c r="N153" s="327">
        <f t="shared" si="804"/>
        <v>2102.1500000000233</v>
      </c>
      <c r="O153" s="330">
        <f t="shared" si="805"/>
        <v>6</v>
      </c>
      <c r="P153" s="356">
        <f t="shared" si="806"/>
        <v>0.69048084500215623</v>
      </c>
      <c r="Q153" s="327">
        <f t="shared" si="807"/>
        <v>31101.149999999994</v>
      </c>
      <c r="R153" s="330">
        <f t="shared" si="808"/>
        <v>128</v>
      </c>
      <c r="S153" s="356">
        <f t="shared" si="809"/>
        <v>5.4107375997167537</v>
      </c>
      <c r="T153" s="327">
        <f t="shared" si="810"/>
        <v>11071.989999999991</v>
      </c>
      <c r="U153" s="330">
        <f t="shared" si="811"/>
        <v>53</v>
      </c>
      <c r="V153" s="356">
        <f t="shared" si="812"/>
        <v>0.78580823364012531</v>
      </c>
      <c r="W153" s="327">
        <f t="shared" si="813"/>
        <v>28022.839999999997</v>
      </c>
      <c r="X153" s="330">
        <f t="shared" si="814"/>
        <v>149</v>
      </c>
      <c r="Y153" s="356">
        <f t="shared" si="815"/>
        <v>-8.4255769090162858E-2</v>
      </c>
      <c r="Z153" s="327">
        <f t="shared" si="816"/>
        <v>9752.4700000000012</v>
      </c>
      <c r="AA153" s="330">
        <f t="shared" si="817"/>
        <v>46</v>
      </c>
      <c r="AB153" s="356">
        <f t="shared" si="818"/>
        <v>0.78322762629730391</v>
      </c>
      <c r="AC153" s="327">
        <f t="shared" si="819"/>
        <v>30795.369999999995</v>
      </c>
      <c r="AD153" s="330">
        <f t="shared" si="820"/>
        <v>192</v>
      </c>
      <c r="AE153" s="356">
        <f t="shared" si="821"/>
        <v>-4.4757853823847995</v>
      </c>
      <c r="AF153" s="327">
        <f t="shared" si="822"/>
        <v>30795.420000000013</v>
      </c>
      <c r="AG153" s="330">
        <f t="shared" si="823"/>
        <v>173</v>
      </c>
      <c r="AH153" s="356">
        <f t="shared" si="824"/>
        <v>-1.5072967657968945</v>
      </c>
      <c r="AI153" s="327">
        <f t="shared" si="825"/>
        <v>24456.720000000001</v>
      </c>
      <c r="AJ153" s="330">
        <f t="shared" si="826"/>
        <v>134</v>
      </c>
      <c r="AK153" s="356">
        <f t="shared" si="827"/>
        <v>-0.65876119967094837</v>
      </c>
      <c r="AL153" s="379"/>
      <c r="AM153" s="380"/>
      <c r="AN153" s="394"/>
      <c r="AO153" s="327">
        <f t="shared" si="828"/>
        <v>19906.51999999999</v>
      </c>
      <c r="AP153" s="330">
        <f t="shared" si="829"/>
        <v>114</v>
      </c>
      <c r="AQ153" s="356">
        <f t="shared" si="830"/>
        <v>-1.246190570002625</v>
      </c>
      <c r="AR153" s="327">
        <f t="shared" si="831"/>
        <v>4196.9400000000023</v>
      </c>
      <c r="AS153" s="330">
        <f t="shared" si="832"/>
        <v>17</v>
      </c>
      <c r="AT153" s="356">
        <f t="shared" si="833"/>
        <v>0.7089598957299188</v>
      </c>
      <c r="AU153" s="327">
        <f t="shared" si="834"/>
        <v>11726.98000000001</v>
      </c>
      <c r="AV153" s="330">
        <f t="shared" si="835"/>
        <v>47</v>
      </c>
      <c r="AW153" s="356">
        <f t="shared" si="836"/>
        <v>2.0939447297627964</v>
      </c>
      <c r="AX153" s="327">
        <f t="shared" si="845"/>
        <v>11798.760000000009</v>
      </c>
      <c r="AY153" s="330">
        <f t="shared" si="846"/>
        <v>60</v>
      </c>
      <c r="AZ153" s="356">
        <f t="shared" si="847"/>
        <v>0.3493415287628352</v>
      </c>
      <c r="BA153" s="327">
        <f t="shared" si="837"/>
        <v>5740.390000000014</v>
      </c>
      <c r="BB153" s="330">
        <f t="shared" si="838"/>
        <v>47</v>
      </c>
      <c r="BC153" s="356">
        <f t="shared" si="839"/>
        <v>-2.2982709708975051</v>
      </c>
      <c r="BD153" s="327"/>
      <c r="BE153" s="330"/>
      <c r="BF153" s="330"/>
      <c r="BG153" s="327">
        <f t="shared" si="848"/>
        <v>20242.927500000005</v>
      </c>
      <c r="BH153" s="330">
        <f t="shared" si="849"/>
        <v>105.875</v>
      </c>
      <c r="BI153" s="356">
        <f t="shared" si="849"/>
        <v>0.16169696160309321</v>
      </c>
      <c r="BJ153" s="327">
        <f t="shared" si="850"/>
        <v>2102.1500000000233</v>
      </c>
      <c r="BK153" s="330">
        <f t="shared" si="851"/>
        <v>6</v>
      </c>
      <c r="BL153" s="356">
        <f t="shared" si="852"/>
        <v>-5.937884397163117</v>
      </c>
      <c r="BM153" s="327">
        <f t="shared" si="853"/>
        <v>44233.69</v>
      </c>
      <c r="BN153" s="330">
        <f t="shared" si="854"/>
        <v>210</v>
      </c>
      <c r="BO153" s="356">
        <f t="shared" si="855"/>
        <v>7.1538106928532557</v>
      </c>
    </row>
    <row r="154" spans="1:67" hidden="1" outlineLevel="1" x14ac:dyDescent="0.25">
      <c r="A154" s="833">
        <v>17</v>
      </c>
      <c r="B154" s="326">
        <f t="shared" si="792"/>
        <v>28752.839999999997</v>
      </c>
      <c r="C154" s="329">
        <f t="shared" si="793"/>
        <v>194</v>
      </c>
      <c r="D154" s="355">
        <f t="shared" si="794"/>
        <v>-6.2999243838685572</v>
      </c>
      <c r="E154" s="326">
        <f t="shared" si="795"/>
        <v>18436.859999999986</v>
      </c>
      <c r="F154" s="329">
        <f t="shared" si="796"/>
        <v>128</v>
      </c>
      <c r="G154" s="355">
        <f t="shared" si="797"/>
        <v>-4.3543277031520233</v>
      </c>
      <c r="H154" s="326">
        <f t="shared" si="798"/>
        <v>31395.48000000001</v>
      </c>
      <c r="I154" s="329">
        <f t="shared" si="799"/>
        <v>102</v>
      </c>
      <c r="J154" s="355">
        <f t="shared" si="800"/>
        <v>9.062849152296792</v>
      </c>
      <c r="K154" s="326">
        <f t="shared" si="801"/>
        <v>26619.809999999998</v>
      </c>
      <c r="L154" s="329">
        <f t="shared" si="802"/>
        <v>116</v>
      </c>
      <c r="M154" s="355">
        <f t="shared" si="803"/>
        <v>3.5642667926020408</v>
      </c>
      <c r="N154" s="326">
        <f t="shared" si="804"/>
        <v>1245.9899999999907</v>
      </c>
      <c r="O154" s="329">
        <f t="shared" si="805"/>
        <v>2</v>
      </c>
      <c r="P154" s="355">
        <f t="shared" si="806"/>
        <v>0.60313491100325223</v>
      </c>
      <c r="Q154" s="326">
        <f t="shared" si="807"/>
        <v>26829.049999999988</v>
      </c>
      <c r="R154" s="329">
        <f t="shared" si="808"/>
        <v>130</v>
      </c>
      <c r="S154" s="355">
        <f t="shared" si="809"/>
        <v>1.7478107240113729</v>
      </c>
      <c r="T154" s="326">
        <f t="shared" si="810"/>
        <v>6825.0499999999884</v>
      </c>
      <c r="U154" s="329">
        <f t="shared" si="811"/>
        <v>32</v>
      </c>
      <c r="V154" s="355">
        <f t="shared" si="812"/>
        <v>0.55704847483301023</v>
      </c>
      <c r="W154" s="326">
        <f t="shared" si="813"/>
        <v>18034.010000000009</v>
      </c>
      <c r="X154" s="329">
        <f t="shared" si="814"/>
        <v>86</v>
      </c>
      <c r="Y154" s="355">
        <f t="shared" si="815"/>
        <v>1.3293168800298076</v>
      </c>
      <c r="Z154" s="326">
        <f t="shared" si="816"/>
        <v>8505.5499999999884</v>
      </c>
      <c r="AA154" s="329">
        <f t="shared" si="817"/>
        <v>36</v>
      </c>
      <c r="AB154" s="355">
        <f t="shared" si="818"/>
        <v>1.2169181317239577</v>
      </c>
      <c r="AC154" s="326">
        <f t="shared" si="819"/>
        <v>32340.549999999988</v>
      </c>
      <c r="AD154" s="329">
        <f t="shared" si="820"/>
        <v>203</v>
      </c>
      <c r="AE154" s="355">
        <f t="shared" si="821"/>
        <v>-4.8210140498522946</v>
      </c>
      <c r="AF154" s="326">
        <f t="shared" si="822"/>
        <v>26653.75</v>
      </c>
      <c r="AG154" s="329">
        <f t="shared" si="823"/>
        <v>153</v>
      </c>
      <c r="AH154" s="355">
        <f t="shared" si="824"/>
        <v>-1.7247038044092164</v>
      </c>
      <c r="AI154" s="326">
        <f t="shared" si="825"/>
        <v>20867.410000000003</v>
      </c>
      <c r="AJ154" s="329">
        <f t="shared" si="826"/>
        <v>122</v>
      </c>
      <c r="AK154" s="355">
        <f t="shared" si="827"/>
        <v>-1.6353101647543156</v>
      </c>
      <c r="AL154" s="379"/>
      <c r="AM154" s="380"/>
      <c r="AN154" s="394"/>
      <c r="AO154" s="326">
        <f t="shared" si="828"/>
        <v>19260.209999999992</v>
      </c>
      <c r="AP154" s="329">
        <f t="shared" si="829"/>
        <v>114</v>
      </c>
      <c r="AQ154" s="355">
        <f t="shared" si="830"/>
        <v>-1.698724777751778</v>
      </c>
      <c r="AR154" s="326">
        <f t="shared" si="831"/>
        <v>2166.039999999979</v>
      </c>
      <c r="AS154" s="329">
        <f t="shared" si="832"/>
        <v>3</v>
      </c>
      <c r="AT154" s="355">
        <f t="shared" si="833"/>
        <v>1.1117626183231266</v>
      </c>
      <c r="AU154" s="326">
        <f t="shared" si="834"/>
        <v>10620.51999999999</v>
      </c>
      <c r="AV154" s="329">
        <f t="shared" si="835"/>
        <v>46</v>
      </c>
      <c r="AW154" s="355">
        <f t="shared" si="836"/>
        <v>1.3886663699335031</v>
      </c>
      <c r="AX154" s="326">
        <f t="shared" si="845"/>
        <v>4944.679999999993</v>
      </c>
      <c r="AY154" s="329">
        <f t="shared" si="846"/>
        <v>24</v>
      </c>
      <c r="AZ154" s="355">
        <f t="shared" si="847"/>
        <v>0.2926454598984094</v>
      </c>
      <c r="BA154" s="326">
        <f t="shared" si="837"/>
        <v>4638.679999999993</v>
      </c>
      <c r="BB154" s="329">
        <f t="shared" si="838"/>
        <v>36</v>
      </c>
      <c r="BC154" s="355">
        <f t="shared" si="839"/>
        <v>-1.533345026170764</v>
      </c>
      <c r="BD154" s="326"/>
      <c r="BE154" s="329"/>
      <c r="BF154" s="329"/>
      <c r="BG154" s="326">
        <f t="shared" si="848"/>
        <v>16342.670624999993</v>
      </c>
      <c r="BH154" s="329">
        <f t="shared" si="849"/>
        <v>85.875</v>
      </c>
      <c r="BI154" s="355">
        <f t="shared" si="849"/>
        <v>3.3235838069096246E-2</v>
      </c>
      <c r="BJ154" s="326">
        <f t="shared" si="850"/>
        <v>1245.9899999999907</v>
      </c>
      <c r="BK154" s="329">
        <f t="shared" si="851"/>
        <v>2</v>
      </c>
      <c r="BL154" s="355">
        <f t="shared" si="852"/>
        <v>-6.2999243838685572</v>
      </c>
      <c r="BM154" s="326">
        <f t="shared" si="853"/>
        <v>32340.549999999988</v>
      </c>
      <c r="BN154" s="329">
        <f t="shared" si="854"/>
        <v>203</v>
      </c>
      <c r="BO154" s="355">
        <f t="shared" si="855"/>
        <v>9.062849152296792</v>
      </c>
    </row>
    <row r="155" spans="1:67" hidden="1" outlineLevel="1" x14ac:dyDescent="0.25">
      <c r="A155" s="833">
        <v>18</v>
      </c>
      <c r="B155" s="327">
        <f t="shared" si="792"/>
        <v>20892.829999999987</v>
      </c>
      <c r="C155" s="330">
        <f t="shared" si="793"/>
        <v>142</v>
      </c>
      <c r="D155" s="356">
        <f t="shared" si="794"/>
        <v>-4.3600229594782718</v>
      </c>
      <c r="E155" s="327">
        <f t="shared" si="795"/>
        <v>11466.340000000026</v>
      </c>
      <c r="F155" s="330">
        <f t="shared" si="796"/>
        <v>83</v>
      </c>
      <c r="G155" s="356">
        <f t="shared" si="797"/>
        <v>-2.9742916522977225</v>
      </c>
      <c r="H155" s="327">
        <f t="shared" si="798"/>
        <v>23772.869999999995</v>
      </c>
      <c r="I155" s="330">
        <f t="shared" si="799"/>
        <v>67</v>
      </c>
      <c r="J155" s="356">
        <f t="shared" si="800"/>
        <v>7.8927883650234207</v>
      </c>
      <c r="K155" s="327">
        <f t="shared" si="801"/>
        <v>23733.299999999988</v>
      </c>
      <c r="L155" s="330">
        <f t="shared" si="802"/>
        <v>104</v>
      </c>
      <c r="M155" s="356">
        <f t="shared" si="803"/>
        <v>3.0179657898620746</v>
      </c>
      <c r="N155" s="327">
        <f t="shared" si="804"/>
        <v>1239.7700000000186</v>
      </c>
      <c r="O155" s="330">
        <f t="shared" si="805"/>
        <v>5</v>
      </c>
      <c r="P155" s="356">
        <f t="shared" si="806"/>
        <v>0.20226361829790562</v>
      </c>
      <c r="Q155" s="327">
        <f t="shared" si="807"/>
        <v>22569.170000000013</v>
      </c>
      <c r="R155" s="330">
        <f t="shared" si="808"/>
        <v>113</v>
      </c>
      <c r="S155" s="356">
        <f t="shared" si="809"/>
        <v>0.94838952758331629</v>
      </c>
      <c r="T155" s="327">
        <f t="shared" si="810"/>
        <v>3970.8499999999767</v>
      </c>
      <c r="U155" s="330">
        <f t="shared" si="811"/>
        <v>27</v>
      </c>
      <c r="V155" s="356">
        <f t="shared" si="812"/>
        <v>-0.76463965386415111</v>
      </c>
      <c r="W155" s="327">
        <f t="shared" si="813"/>
        <v>15126.450000000012</v>
      </c>
      <c r="X155" s="330">
        <f t="shared" si="814"/>
        <v>67</v>
      </c>
      <c r="Y155" s="356">
        <f t="shared" si="815"/>
        <v>1.7779227356033687</v>
      </c>
      <c r="Z155" s="327">
        <f t="shared" si="816"/>
        <v>5857.390000000014</v>
      </c>
      <c r="AA155" s="330">
        <f t="shared" si="817"/>
        <v>28</v>
      </c>
      <c r="AB155" s="356">
        <f t="shared" si="818"/>
        <v>0.4036532439112932</v>
      </c>
      <c r="AC155" s="327">
        <f t="shared" si="819"/>
        <v>25772.22</v>
      </c>
      <c r="AD155" s="330">
        <f t="shared" si="820"/>
        <v>164</v>
      </c>
      <c r="AE155" s="356">
        <f t="shared" si="821"/>
        <v>-3.872504100279059</v>
      </c>
      <c r="AF155" s="327">
        <f t="shared" si="822"/>
        <v>24880.929999999993</v>
      </c>
      <c r="AG155" s="330">
        <f t="shared" si="823"/>
        <v>142</v>
      </c>
      <c r="AH155" s="356">
        <f t="shared" si="824"/>
        <v>-1.3816062305760966</v>
      </c>
      <c r="AI155" s="327">
        <f t="shared" si="825"/>
        <v>17437.78</v>
      </c>
      <c r="AJ155" s="330">
        <f t="shared" si="826"/>
        <v>120</v>
      </c>
      <c r="AK155" s="356">
        <f t="shared" si="827"/>
        <v>-3.785241429401367</v>
      </c>
      <c r="AL155" s="379"/>
      <c r="AM155" s="380"/>
      <c r="AN155" s="394"/>
      <c r="AO155" s="327">
        <f t="shared" si="828"/>
        <v>16506.609999999986</v>
      </c>
      <c r="AP155" s="330">
        <f t="shared" si="829"/>
        <v>106</v>
      </c>
      <c r="AQ155" s="356">
        <f t="shared" si="830"/>
        <v>-2.507231030630436</v>
      </c>
      <c r="AR155" s="327">
        <f t="shared" si="831"/>
        <v>-313.67999999999302</v>
      </c>
      <c r="AS155" s="330">
        <f t="shared" si="832"/>
        <v>-3</v>
      </c>
      <c r="AT155" s="356">
        <f t="shared" si="833"/>
        <v>0.16917610487558932</v>
      </c>
      <c r="AU155" s="327">
        <f t="shared" si="834"/>
        <v>8560.5200000000186</v>
      </c>
      <c r="AV155" s="330">
        <f t="shared" si="835"/>
        <v>45</v>
      </c>
      <c r="AW155" s="356">
        <f t="shared" si="836"/>
        <v>6.2297984310077936E-2</v>
      </c>
      <c r="AX155" s="327">
        <f t="shared" si="845"/>
        <v>1112.070000000007</v>
      </c>
      <c r="AY155" s="330">
        <f t="shared" si="846"/>
        <v>7</v>
      </c>
      <c r="AZ155" s="356">
        <f t="shared" si="847"/>
        <v>-0.1395186290021968</v>
      </c>
      <c r="BA155" s="327">
        <f t="shared" si="837"/>
        <v>1837.4899999999907</v>
      </c>
      <c r="BB155" s="330">
        <f t="shared" si="838"/>
        <v>18</v>
      </c>
      <c r="BC155" s="356">
        <f t="shared" si="839"/>
        <v>-1.0601052890036158</v>
      </c>
      <c r="BD155" s="327"/>
      <c r="BE155" s="330"/>
      <c r="BF155" s="330"/>
      <c r="BG155" s="327">
        <f t="shared" si="848"/>
        <v>12471.373750000002</v>
      </c>
      <c r="BH155" s="330">
        <f t="shared" si="849"/>
        <v>68.3125</v>
      </c>
      <c r="BI155" s="356">
        <f t="shared" si="849"/>
        <v>-0.31181858590561085</v>
      </c>
      <c r="BJ155" s="327">
        <f t="shared" si="850"/>
        <v>-313.67999999999302</v>
      </c>
      <c r="BK155" s="330">
        <f t="shared" si="851"/>
        <v>-3</v>
      </c>
      <c r="BL155" s="356">
        <f t="shared" si="852"/>
        <v>-4.3600229594782718</v>
      </c>
      <c r="BM155" s="327">
        <f t="shared" si="853"/>
        <v>25772.22</v>
      </c>
      <c r="BN155" s="330">
        <f t="shared" si="854"/>
        <v>164</v>
      </c>
      <c r="BO155" s="356">
        <f t="shared" si="855"/>
        <v>7.8927883650234207</v>
      </c>
    </row>
    <row r="156" spans="1:67" hidden="1" outlineLevel="1" x14ac:dyDescent="0.25">
      <c r="A156" s="833">
        <v>19</v>
      </c>
      <c r="B156" s="326">
        <f t="shared" si="792"/>
        <v>11250.380000000005</v>
      </c>
      <c r="C156" s="329">
        <f t="shared" si="793"/>
        <v>86</v>
      </c>
      <c r="D156" s="355">
        <f t="shared" si="794"/>
        <v>-3.4489316382825734</v>
      </c>
      <c r="E156" s="326">
        <f t="shared" si="795"/>
        <v>-876.13000000000466</v>
      </c>
      <c r="F156" s="329">
        <f t="shared" si="796"/>
        <v>18</v>
      </c>
      <c r="G156" s="355">
        <f t="shared" si="797"/>
        <v>-2.8458838169450189</v>
      </c>
      <c r="H156" s="326">
        <f t="shared" si="798"/>
        <v>4743.8400000000256</v>
      </c>
      <c r="I156" s="329">
        <f t="shared" si="799"/>
        <v>5</v>
      </c>
      <c r="J156" s="355">
        <f t="shared" si="800"/>
        <v>2.5168799254019518</v>
      </c>
      <c r="K156" s="326">
        <f t="shared" si="801"/>
        <v>12303.979999999981</v>
      </c>
      <c r="L156" s="329">
        <f t="shared" si="802"/>
        <v>51</v>
      </c>
      <c r="M156" s="355">
        <f t="shared" si="803"/>
        <v>1.8481015606004405</v>
      </c>
      <c r="N156" s="326">
        <f t="shared" si="804"/>
        <v>-4680.8400000000256</v>
      </c>
      <c r="O156" s="329">
        <f t="shared" si="805"/>
        <v>-27</v>
      </c>
      <c r="P156" s="355">
        <f t="shared" si="806"/>
        <v>0.25901875351615899</v>
      </c>
      <c r="Q156" s="326">
        <f t="shared" si="807"/>
        <v>11877.400000000023</v>
      </c>
      <c r="R156" s="329">
        <f t="shared" si="808"/>
        <v>57</v>
      </c>
      <c r="S156" s="355">
        <f t="shared" si="809"/>
        <v>0.78950477520115214</v>
      </c>
      <c r="T156" s="326">
        <f t="shared" si="810"/>
        <v>-4468.7000000000116</v>
      </c>
      <c r="U156" s="329">
        <f t="shared" si="811"/>
        <v>-24</v>
      </c>
      <c r="V156" s="355">
        <f t="shared" si="812"/>
        <v>3.0717712366765682E-2</v>
      </c>
      <c r="W156" s="326">
        <f t="shared" si="813"/>
        <v>7950.6300000000047</v>
      </c>
      <c r="X156" s="329">
        <f t="shared" si="814"/>
        <v>21</v>
      </c>
      <c r="Y156" s="355">
        <f t="shared" si="815"/>
        <v>2.6750002559101915</v>
      </c>
      <c r="Z156" s="326">
        <f t="shared" si="816"/>
        <v>-515.75</v>
      </c>
      <c r="AA156" s="329">
        <f t="shared" si="817"/>
        <v>-8</v>
      </c>
      <c r="AB156" s="355">
        <f t="shared" si="818"/>
        <v>0.64933405009728062</v>
      </c>
      <c r="AC156" s="326">
        <f t="shared" si="819"/>
        <v>17768.919999999984</v>
      </c>
      <c r="AD156" s="329">
        <f t="shared" si="820"/>
        <v>114</v>
      </c>
      <c r="AE156" s="355">
        <f t="shared" si="821"/>
        <v>-2.6263231568923686</v>
      </c>
      <c r="AF156" s="326">
        <f t="shared" si="822"/>
        <v>6939.9000000000233</v>
      </c>
      <c r="AG156" s="329">
        <f t="shared" si="823"/>
        <v>48</v>
      </c>
      <c r="AH156" s="355">
        <f t="shared" si="824"/>
        <v>-1.4251434292164049</v>
      </c>
      <c r="AI156" s="326">
        <f t="shared" si="825"/>
        <v>2652.859999999986</v>
      </c>
      <c r="AJ156" s="329">
        <f t="shared" si="826"/>
        <v>31</v>
      </c>
      <c r="AK156" s="355">
        <f t="shared" si="827"/>
        <v>-2.1416252409761967</v>
      </c>
      <c r="AL156" s="379"/>
      <c r="AM156" s="380"/>
      <c r="AN156" s="394"/>
      <c r="AO156" s="326">
        <f t="shared" si="828"/>
        <v>5941</v>
      </c>
      <c r="AP156" s="329">
        <f t="shared" si="829"/>
        <v>44</v>
      </c>
      <c r="AQ156" s="355">
        <f t="shared" si="830"/>
        <v>-1.5885482390730772</v>
      </c>
      <c r="AR156" s="326">
        <f t="shared" si="831"/>
        <v>-3444.320000000007</v>
      </c>
      <c r="AS156" s="329">
        <f t="shared" si="832"/>
        <v>-19</v>
      </c>
      <c r="AT156" s="355">
        <f t="shared" si="833"/>
        <v>8.5244849724517735E-2</v>
      </c>
      <c r="AU156" s="326">
        <f t="shared" si="834"/>
        <v>5210.2600000000093</v>
      </c>
      <c r="AV156" s="329">
        <f t="shared" si="835"/>
        <v>31</v>
      </c>
      <c r="AW156" s="355">
        <f t="shared" si="836"/>
        <v>-0.41947035882128603</v>
      </c>
      <c r="AX156" s="326">
        <f t="shared" si="845"/>
        <v>-1425.3099999999977</v>
      </c>
      <c r="AY156" s="329">
        <f t="shared" si="846"/>
        <v>-6</v>
      </c>
      <c r="AZ156" s="355">
        <f t="shared" si="847"/>
        <v>-0.19468375869828947</v>
      </c>
      <c r="BA156" s="326">
        <f t="shared" si="837"/>
        <v>3118.6599999999744</v>
      </c>
      <c r="BB156" s="329">
        <f t="shared" si="838"/>
        <v>20</v>
      </c>
      <c r="BC156" s="355">
        <f t="shared" si="839"/>
        <v>-0.43093431207938693</v>
      </c>
      <c r="BD156" s="326"/>
      <c r="BE156" s="329"/>
      <c r="BF156" s="329"/>
      <c r="BG156" s="326">
        <f t="shared" si="848"/>
        <v>4212.9299999999967</v>
      </c>
      <c r="BH156" s="329">
        <f t="shared" si="849"/>
        <v>24.625</v>
      </c>
      <c r="BI156" s="355">
        <f t="shared" si="849"/>
        <v>-0.30266241493435864</v>
      </c>
      <c r="BJ156" s="326">
        <f t="shared" si="850"/>
        <v>-4680.8400000000256</v>
      </c>
      <c r="BK156" s="329">
        <f t="shared" si="851"/>
        <v>-27</v>
      </c>
      <c r="BL156" s="355">
        <f t="shared" si="852"/>
        <v>-3.4489316382825734</v>
      </c>
      <c r="BM156" s="326">
        <f t="shared" si="853"/>
        <v>17768.919999999984</v>
      </c>
      <c r="BN156" s="329">
        <f t="shared" si="854"/>
        <v>114</v>
      </c>
      <c r="BO156" s="355">
        <f t="shared" si="855"/>
        <v>2.6750002559101915</v>
      </c>
    </row>
    <row r="157" spans="1:67" hidden="1" outlineLevel="1" x14ac:dyDescent="0.25">
      <c r="A157" s="285">
        <v>20</v>
      </c>
      <c r="B157" s="328">
        <f t="shared" si="792"/>
        <v>0</v>
      </c>
      <c r="C157" s="331">
        <f t="shared" si="793"/>
        <v>0</v>
      </c>
      <c r="D157" s="357">
        <f t="shared" si="794"/>
        <v>0</v>
      </c>
      <c r="E157" s="328">
        <f t="shared" si="795"/>
        <v>0</v>
      </c>
      <c r="F157" s="331">
        <f t="shared" si="796"/>
        <v>0</v>
      </c>
      <c r="G157" s="357">
        <f t="shared" si="797"/>
        <v>0</v>
      </c>
      <c r="H157" s="328">
        <f t="shared" si="798"/>
        <v>0</v>
      </c>
      <c r="I157" s="331">
        <f t="shared" si="799"/>
        <v>0</v>
      </c>
      <c r="J157" s="357">
        <f t="shared" si="800"/>
        <v>0</v>
      </c>
      <c r="K157" s="328">
        <f t="shared" si="801"/>
        <v>0</v>
      </c>
      <c r="L157" s="331">
        <f t="shared" si="802"/>
        <v>0</v>
      </c>
      <c r="M157" s="357">
        <f t="shared" si="803"/>
        <v>0</v>
      </c>
      <c r="N157" s="328">
        <f t="shared" si="804"/>
        <v>0</v>
      </c>
      <c r="O157" s="331">
        <f t="shared" si="805"/>
        <v>0</v>
      </c>
      <c r="P157" s="357">
        <f t="shared" si="806"/>
        <v>0</v>
      </c>
      <c r="Q157" s="328">
        <f t="shared" si="807"/>
        <v>0</v>
      </c>
      <c r="R157" s="331">
        <f t="shared" si="808"/>
        <v>0</v>
      </c>
      <c r="S157" s="357">
        <f t="shared" si="809"/>
        <v>0</v>
      </c>
      <c r="T157" s="328">
        <f t="shared" si="810"/>
        <v>0</v>
      </c>
      <c r="U157" s="331">
        <f t="shared" si="811"/>
        <v>0</v>
      </c>
      <c r="V157" s="357">
        <f t="shared" si="812"/>
        <v>0</v>
      </c>
      <c r="W157" s="328">
        <f t="shared" si="813"/>
        <v>0</v>
      </c>
      <c r="X157" s="331">
        <f t="shared" si="814"/>
        <v>0</v>
      </c>
      <c r="Y157" s="357">
        <f t="shared" si="815"/>
        <v>0</v>
      </c>
      <c r="Z157" s="328">
        <f t="shared" si="816"/>
        <v>0</v>
      </c>
      <c r="AA157" s="331">
        <f t="shared" si="817"/>
        <v>0</v>
      </c>
      <c r="AB157" s="357">
        <f t="shared" si="818"/>
        <v>0</v>
      </c>
      <c r="AC157" s="328">
        <f t="shared" si="819"/>
        <v>0</v>
      </c>
      <c r="AD157" s="331">
        <f t="shared" si="820"/>
        <v>0</v>
      </c>
      <c r="AE157" s="357">
        <f t="shared" si="821"/>
        <v>0</v>
      </c>
      <c r="AF157" s="328">
        <f t="shared" si="822"/>
        <v>0</v>
      </c>
      <c r="AG157" s="331">
        <f t="shared" si="823"/>
        <v>0</v>
      </c>
      <c r="AH157" s="357">
        <f t="shared" si="824"/>
        <v>0</v>
      </c>
      <c r="AI157" s="328">
        <f t="shared" si="825"/>
        <v>0</v>
      </c>
      <c r="AJ157" s="331">
        <f t="shared" si="826"/>
        <v>0</v>
      </c>
      <c r="AK157" s="357">
        <f t="shared" si="827"/>
        <v>0</v>
      </c>
      <c r="AL157" s="379"/>
      <c r="AM157" s="380"/>
      <c r="AN157" s="394"/>
      <c r="AO157" s="328">
        <f t="shared" si="828"/>
        <v>0</v>
      </c>
      <c r="AP157" s="331">
        <f t="shared" si="829"/>
        <v>0</v>
      </c>
      <c r="AQ157" s="357">
        <f t="shared" si="830"/>
        <v>0</v>
      </c>
      <c r="AR157" s="328">
        <f t="shared" si="831"/>
        <v>0</v>
      </c>
      <c r="AS157" s="331">
        <f t="shared" si="832"/>
        <v>0</v>
      </c>
      <c r="AT157" s="357">
        <f t="shared" si="833"/>
        <v>0</v>
      </c>
      <c r="AU157" s="328">
        <f t="shared" si="834"/>
        <v>0</v>
      </c>
      <c r="AV157" s="331">
        <f t="shared" si="835"/>
        <v>0</v>
      </c>
      <c r="AW157" s="357">
        <f t="shared" si="836"/>
        <v>0</v>
      </c>
      <c r="AX157" s="328">
        <f t="shared" si="845"/>
        <v>0</v>
      </c>
      <c r="AY157" s="331">
        <f t="shared" si="846"/>
        <v>0</v>
      </c>
      <c r="AZ157" s="357">
        <f t="shared" si="847"/>
        <v>0</v>
      </c>
      <c r="BA157" s="328">
        <f t="shared" si="837"/>
        <v>0</v>
      </c>
      <c r="BB157" s="331">
        <f t="shared" si="838"/>
        <v>0</v>
      </c>
      <c r="BC157" s="357">
        <f t="shared" si="839"/>
        <v>0</v>
      </c>
      <c r="BD157" s="328"/>
      <c r="BE157" s="331"/>
      <c r="BF157" s="331"/>
      <c r="BG157" s="328">
        <f t="shared" si="848"/>
        <v>0</v>
      </c>
      <c r="BH157" s="331">
        <f t="shared" si="849"/>
        <v>0</v>
      </c>
      <c r="BI157" s="357">
        <f t="shared" si="849"/>
        <v>0</v>
      </c>
      <c r="BJ157" s="328">
        <f t="shared" si="850"/>
        <v>0</v>
      </c>
      <c r="BK157" s="331">
        <f t="shared" si="851"/>
        <v>0</v>
      </c>
      <c r="BL157" s="357">
        <f t="shared" si="852"/>
        <v>0</v>
      </c>
      <c r="BM157" s="328">
        <f t="shared" si="853"/>
        <v>0</v>
      </c>
      <c r="BN157" s="331">
        <f t="shared" si="854"/>
        <v>0</v>
      </c>
      <c r="BO157" s="357">
        <f t="shared" si="855"/>
        <v>0</v>
      </c>
    </row>
    <row r="158" spans="1:67" hidden="1" outlineLevel="1" x14ac:dyDescent="0.25">
      <c r="A158" s="284">
        <v>21</v>
      </c>
      <c r="B158" s="326">
        <f t="shared" si="792"/>
        <v>-12859.760000000009</v>
      </c>
      <c r="C158" s="329">
        <f t="shared" si="793"/>
        <v>-89</v>
      </c>
      <c r="D158" s="355">
        <f t="shared" si="794"/>
        <v>2.0550058928468218</v>
      </c>
      <c r="E158" s="326">
        <f t="shared" si="795"/>
        <v>-63636.5</v>
      </c>
      <c r="F158" s="329">
        <f t="shared" si="796"/>
        <v>-339</v>
      </c>
      <c r="G158" s="355">
        <f t="shared" si="797"/>
        <v>-4.8604383152110131E-2</v>
      </c>
      <c r="H158" s="326">
        <f t="shared" si="798"/>
        <v>-11243.98000000004</v>
      </c>
      <c r="I158" s="329">
        <f t="shared" si="799"/>
        <v>-41</v>
      </c>
      <c r="J158" s="355">
        <f t="shared" si="800"/>
        <v>-1.9657248515818537</v>
      </c>
      <c r="K158" s="326">
        <f t="shared" si="801"/>
        <v>-12143.97000000003</v>
      </c>
      <c r="L158" s="329">
        <f t="shared" si="802"/>
        <v>-45</v>
      </c>
      <c r="M158" s="355">
        <f t="shared" si="803"/>
        <v>-2.0442171172433348</v>
      </c>
      <c r="N158" s="326">
        <f t="shared" si="804"/>
        <v>5039.0699999999488</v>
      </c>
      <c r="O158" s="329">
        <f t="shared" si="805"/>
        <v>39</v>
      </c>
      <c r="P158" s="355">
        <f t="shared" si="806"/>
        <v>-1.3114676340706808</v>
      </c>
      <c r="Q158" s="326">
        <f t="shared" si="807"/>
        <v>-24560.900000000023</v>
      </c>
      <c r="R158" s="329">
        <f t="shared" si="808"/>
        <v>-105</v>
      </c>
      <c r="S158" s="355">
        <f t="shared" si="809"/>
        <v>-2.6038557288135848</v>
      </c>
      <c r="T158" s="326">
        <f t="shared" si="810"/>
        <v>-7434.9100000000326</v>
      </c>
      <c r="U158" s="329">
        <f t="shared" si="811"/>
        <v>-46</v>
      </c>
      <c r="V158" s="355">
        <f t="shared" si="812"/>
        <v>0.65320586002636105</v>
      </c>
      <c r="W158" s="326">
        <f t="shared" si="813"/>
        <v>-16775.210000000021</v>
      </c>
      <c r="X158" s="329">
        <f t="shared" si="814"/>
        <v>-88</v>
      </c>
      <c r="Y158" s="355">
        <f t="shared" si="815"/>
        <v>-0.15210438902167311</v>
      </c>
      <c r="Z158" s="326">
        <f t="shared" si="816"/>
        <v>504.20999999996275</v>
      </c>
      <c r="AA158" s="329">
        <f t="shared" si="817"/>
        <v>9</v>
      </c>
      <c r="AB158" s="355">
        <f t="shared" si="818"/>
        <v>-0.67151231484425011</v>
      </c>
      <c r="AC158" s="326">
        <f t="shared" si="819"/>
        <v>-31313.110000000044</v>
      </c>
      <c r="AD158" s="329">
        <f t="shared" si="820"/>
        <v>-134</v>
      </c>
      <c r="AE158" s="355">
        <f t="shared" si="821"/>
        <v>-3.2559758996819426</v>
      </c>
      <c r="AF158" s="326">
        <f t="shared" si="822"/>
        <v>-19369.990000000049</v>
      </c>
      <c r="AG158" s="329">
        <f t="shared" si="823"/>
        <v>-83</v>
      </c>
      <c r="AH158" s="355">
        <f t="shared" si="824"/>
        <v>-2.0585372384376228</v>
      </c>
      <c r="AI158" s="326">
        <f t="shared" si="825"/>
        <v>618.11999999999534</v>
      </c>
      <c r="AJ158" s="329">
        <f t="shared" si="826"/>
        <v>4</v>
      </c>
      <c r="AK158" s="355">
        <f t="shared" si="827"/>
        <v>-7.4486771471185875E-2</v>
      </c>
      <c r="AL158" s="379"/>
      <c r="AM158" s="380"/>
      <c r="AN158" s="394"/>
      <c r="AO158" s="326">
        <f t="shared" si="828"/>
        <v>-8136.2700000000186</v>
      </c>
      <c r="AP158" s="329">
        <f t="shared" si="829"/>
        <v>-43</v>
      </c>
      <c r="AQ158" s="355">
        <f t="shared" si="830"/>
        <v>-4.2683886930888093E-2</v>
      </c>
      <c r="AR158" s="326">
        <f t="shared" si="831"/>
        <v>3327.6299999999464</v>
      </c>
      <c r="AS158" s="329">
        <f t="shared" si="832"/>
        <v>-1</v>
      </c>
      <c r="AT158" s="355">
        <f t="shared" si="833"/>
        <v>1.9847802990425976</v>
      </c>
      <c r="AU158" s="326">
        <f t="shared" si="834"/>
        <v>-1917.1300000000047</v>
      </c>
      <c r="AV158" s="329">
        <f t="shared" si="835"/>
        <v>-21</v>
      </c>
      <c r="AW158" s="355">
        <f t="shared" si="836"/>
        <v>1.1270821338329995</v>
      </c>
      <c r="AX158" s="326">
        <f t="shared" si="845"/>
        <v>7500.6599999999744</v>
      </c>
      <c r="AY158" s="329">
        <f t="shared" si="846"/>
        <v>28</v>
      </c>
      <c r="AZ158" s="355">
        <f t="shared" si="847"/>
        <v>1.2933493289744149</v>
      </c>
      <c r="BA158" s="326">
        <f t="shared" si="837"/>
        <v>-3819.2800000000279</v>
      </c>
      <c r="BB158" s="329">
        <f t="shared" si="838"/>
        <v>-9</v>
      </c>
      <c r="BC158" s="355">
        <f t="shared" si="839"/>
        <v>-1.1987278322424686</v>
      </c>
      <c r="BD158" s="326"/>
      <c r="BE158" s="329"/>
      <c r="BF158" s="329"/>
      <c r="BG158" s="326">
        <f t="shared" si="848"/>
        <v>-11053.208125000026</v>
      </c>
      <c r="BH158" s="329">
        <f t="shared" si="849"/>
        <v>-55.0625</v>
      </c>
      <c r="BI158" s="355">
        <f t="shared" si="849"/>
        <v>-0.39099608089567361</v>
      </c>
      <c r="BJ158" s="326">
        <f t="shared" si="850"/>
        <v>-63636.5</v>
      </c>
      <c r="BK158" s="329">
        <f t="shared" si="851"/>
        <v>-339</v>
      </c>
      <c r="BL158" s="355">
        <f t="shared" si="852"/>
        <v>-3.2559758996819426</v>
      </c>
      <c r="BM158" s="326">
        <f t="shared" si="853"/>
        <v>7500.6599999999744</v>
      </c>
      <c r="BN158" s="329">
        <f t="shared" si="854"/>
        <v>39</v>
      </c>
      <c r="BO158" s="355">
        <f t="shared" si="855"/>
        <v>2.0550058928468218</v>
      </c>
    </row>
    <row r="159" spans="1:67" hidden="1" outlineLevel="1" x14ac:dyDescent="0.25">
      <c r="A159" s="284"/>
      <c r="B159" s="326"/>
      <c r="C159" s="329"/>
      <c r="D159" s="355"/>
      <c r="E159" s="326"/>
      <c r="F159" s="329"/>
      <c r="G159" s="355"/>
      <c r="H159" s="326"/>
      <c r="I159" s="329"/>
      <c r="J159" s="355"/>
      <c r="K159" s="326"/>
      <c r="L159" s="329"/>
      <c r="M159" s="355"/>
      <c r="N159" s="329"/>
      <c r="O159" s="329"/>
      <c r="P159" s="355"/>
      <c r="Q159" s="329"/>
      <c r="R159" s="329"/>
      <c r="S159" s="355"/>
      <c r="T159" s="326"/>
      <c r="U159" s="329"/>
      <c r="V159" s="355"/>
      <c r="W159" s="326"/>
      <c r="X159" s="329"/>
      <c r="Y159" s="355"/>
      <c r="Z159" s="326"/>
      <c r="AA159" s="329"/>
      <c r="AB159" s="355"/>
      <c r="AC159" s="326"/>
      <c r="AD159" s="329"/>
      <c r="AE159" s="355"/>
      <c r="AF159" s="326"/>
      <c r="AG159" s="329"/>
      <c r="AH159" s="355"/>
      <c r="AI159" s="326"/>
      <c r="AJ159" s="329"/>
      <c r="AK159" s="355"/>
      <c r="AL159" s="326"/>
      <c r="AM159" s="329"/>
      <c r="AN159" s="355"/>
      <c r="AO159" s="326"/>
      <c r="AP159" s="329"/>
      <c r="AQ159" s="355"/>
      <c r="AR159" s="326"/>
      <c r="AS159" s="329"/>
      <c r="AT159" s="355"/>
      <c r="AU159" s="326"/>
      <c r="AV159" s="329"/>
      <c r="AW159" s="355"/>
      <c r="AX159" s="326"/>
      <c r="AY159" s="329"/>
      <c r="AZ159" s="355"/>
      <c r="BA159" s="326"/>
      <c r="BB159" s="329"/>
      <c r="BC159" s="355"/>
      <c r="BD159" s="326"/>
      <c r="BE159" s="329"/>
      <c r="BF159" s="329"/>
      <c r="BG159" s="326"/>
      <c r="BH159" s="329"/>
      <c r="BI159" s="355"/>
      <c r="BJ159" s="326"/>
      <c r="BK159" s="329"/>
      <c r="BL159" s="355"/>
      <c r="BM159" s="326"/>
      <c r="BN159" s="329"/>
      <c r="BO159" s="355"/>
    </row>
    <row r="160" spans="1:67" hidden="1" outlineLevel="1" x14ac:dyDescent="0.25">
      <c r="A160" s="284" t="s">
        <v>235</v>
      </c>
      <c r="B160" s="326">
        <f>AVERAGE(B138:B158)</f>
        <v>42469.182857142856</v>
      </c>
      <c r="C160" s="329">
        <f t="shared" ref="C160:AG160" si="856">AVERAGE(C138:C158)</f>
        <v>257.76190476190476</v>
      </c>
      <c r="D160" s="355">
        <f t="shared" ref="D160" si="857">AVERAGE(D138:D158)</f>
        <v>-9.0453200777309259</v>
      </c>
      <c r="E160" s="326">
        <f t="shared" si="856"/>
        <v>26890.215714285721</v>
      </c>
      <c r="F160" s="329">
        <f t="shared" si="856"/>
        <v>161.47619047619048</v>
      </c>
      <c r="G160" s="355">
        <f t="shared" si="856"/>
        <v>-4.6427984608370805</v>
      </c>
      <c r="H160" s="326">
        <f t="shared" si="856"/>
        <v>33893.526666666672</v>
      </c>
      <c r="I160" s="329">
        <f t="shared" si="856"/>
        <v>144.8095238095238</v>
      </c>
      <c r="J160" s="355">
        <f t="shared" ref="J160" si="858">AVERAGE(J138:J158)</f>
        <v>6.3495269286159237</v>
      </c>
      <c r="K160" s="326">
        <f t="shared" si="856"/>
        <v>36423.528571428578</v>
      </c>
      <c r="L160" s="329">
        <f t="shared" si="856"/>
        <v>156.1904761904762</v>
      </c>
      <c r="M160" s="355">
        <f t="shared" ref="M160" si="859">AVERAGE(M138:M158)</f>
        <v>7.7898822977979094</v>
      </c>
      <c r="N160" s="326">
        <f t="shared" si="856"/>
        <v>2799.9709523809524</v>
      </c>
      <c r="O160" s="329">
        <f t="shared" si="856"/>
        <v>4.5238095238095237</v>
      </c>
      <c r="P160" s="355">
        <f t="shared" ref="P160" si="860">AVERAGE(P138:P158)</f>
        <v>1.7968286497172441</v>
      </c>
      <c r="Q160" s="326">
        <f t="shared" si="856"/>
        <v>37056.891428571435</v>
      </c>
      <c r="R160" s="329">
        <f t="shared" si="856"/>
        <v>179.33333333333334</v>
      </c>
      <c r="S160" s="355">
        <f t="shared" ref="S160" si="861">AVERAGE(S138:S158)</f>
        <v>2.4978223518509628</v>
      </c>
      <c r="T160" s="326">
        <f t="shared" si="856"/>
        <v>12761.550476190474</v>
      </c>
      <c r="U160" s="329">
        <f t="shared" si="856"/>
        <v>63.80952380952381</v>
      </c>
      <c r="V160" s="355">
        <f t="shared" ref="V160" si="862">AVERAGE(V138:V158)</f>
        <v>0.55360100444452176</v>
      </c>
      <c r="W160" s="326">
        <f t="shared" si="856"/>
        <v>33824.62999999999</v>
      </c>
      <c r="X160" s="329">
        <f t="shared" si="856"/>
        <v>192.85714285714286</v>
      </c>
      <c r="Y160" s="355">
        <f t="shared" ref="Y160" si="863">AVERAGE(Y138:Y158)</f>
        <v>-4.4891809160131038</v>
      </c>
      <c r="Z160" s="326">
        <f t="shared" si="856"/>
        <v>12512.609047619044</v>
      </c>
      <c r="AA160" s="329">
        <f t="shared" si="856"/>
        <v>62.761904761904759</v>
      </c>
      <c r="AB160" s="355">
        <f t="shared" ref="AB160" si="864">AVERAGE(AB138:AB158)</f>
        <v>0.32533042062001438</v>
      </c>
      <c r="AC160" s="326">
        <f t="shared" si="856"/>
        <v>29192.965714285703</v>
      </c>
      <c r="AD160" s="329">
        <f t="shared" si="856"/>
        <v>146.66666666666666</v>
      </c>
      <c r="AE160" s="355">
        <f t="shared" ref="AE160" si="865">AVERAGE(AE138:AE158)</f>
        <v>2.4622030437253764</v>
      </c>
      <c r="AF160" s="326">
        <f t="shared" si="856"/>
        <v>47355.150952380958</v>
      </c>
      <c r="AG160" s="329">
        <f t="shared" si="856"/>
        <v>240.28571428571428</v>
      </c>
      <c r="AH160" s="355">
        <f t="shared" ref="AH160:AJ160" si="866">AVERAGE(AH138:AH158)</f>
        <v>2.310352842983284</v>
      </c>
      <c r="AI160" s="326">
        <f t="shared" si="866"/>
        <v>13102.822857142859</v>
      </c>
      <c r="AJ160" s="329">
        <f t="shared" si="866"/>
        <v>70.095238095238102</v>
      </c>
      <c r="AK160" s="355">
        <f t="shared" ref="AK160" si="867">AVERAGE(AK138:AK158)</f>
        <v>-0.14401833182986529</v>
      </c>
      <c r="AL160" s="379"/>
      <c r="AM160" s="380"/>
      <c r="AN160" s="394"/>
      <c r="AO160" s="326">
        <f t="shared" ref="AO160:AQ160" si="868">AVERAGE(AO138:AO158)</f>
        <v>22114.689523809517</v>
      </c>
      <c r="AP160" s="329">
        <f t="shared" si="868"/>
        <v>118.71428571428571</v>
      </c>
      <c r="AQ160" s="355">
        <f t="shared" si="868"/>
        <v>-0.80957808839922796</v>
      </c>
      <c r="AR160" s="326">
        <f t="shared" ref="AR160:AT160" si="869">AVERAGE(AR138:AR158)</f>
        <v>10416.075714285711</v>
      </c>
      <c r="AS160" s="329">
        <f t="shared" si="869"/>
        <v>54.095238095238095</v>
      </c>
      <c r="AT160" s="355">
        <f t="shared" si="869"/>
        <v>-0.1356257916866111</v>
      </c>
      <c r="AU160" s="326">
        <f t="shared" ref="AU160:AW160" si="870">AVERAGE(AU138:AU158)</f>
        <v>10910.151904761906</v>
      </c>
      <c r="AV160" s="329">
        <f t="shared" si="870"/>
        <v>13.047619047619047</v>
      </c>
      <c r="AW160" s="355">
        <f t="shared" si="870"/>
        <v>8.1131474093052791</v>
      </c>
      <c r="AX160" s="326">
        <f t="shared" ref="AX160:BC160" si="871">AVERAGE(AX138:AX158)</f>
        <v>26580.444</v>
      </c>
      <c r="AY160" s="329">
        <f t="shared" si="871"/>
        <v>131.55000000000001</v>
      </c>
      <c r="AZ160" s="355">
        <f t="shared" si="871"/>
        <v>1.5403314970808566</v>
      </c>
      <c r="BA160" s="326">
        <f t="shared" si="871"/>
        <v>2797.392380952379</v>
      </c>
      <c r="BB160" s="329">
        <f t="shared" si="871"/>
        <v>29.571428571428573</v>
      </c>
      <c r="BC160" s="355">
        <f t="shared" si="871"/>
        <v>-2.6824952352678442</v>
      </c>
      <c r="BD160" s="326"/>
      <c r="BE160" s="329"/>
      <c r="BF160" s="329"/>
      <c r="BG160" s="326"/>
      <c r="BH160" s="329"/>
      <c r="BI160" s="355"/>
      <c r="BJ160" s="326">
        <f t="shared" ref="BJ160:BJ161" si="872">MIN(B160,E160,H160,K160,N160,Q160,T160,W160,Z160,AC160,AI160,AO160,AR160,AU160)</f>
        <v>2799.9709523809524</v>
      </c>
      <c r="BK160" s="329">
        <f t="shared" ref="BK160:BK161" si="873">MIN(C160,F160,I160,L160,O160,R160,U160,X160,AA160,AD160,AJ160,AP160,AS160,AV160)</f>
        <v>4.5238095238095237</v>
      </c>
      <c r="BL160" s="355">
        <f t="shared" ref="BL160:BL161" si="874">MIN(D160,G160,J160,M160,P160,S160,V160,Y160,AB160,AE160,AK160,AQ160,AT160,AW160)</f>
        <v>-9.0453200777309259</v>
      </c>
      <c r="BM160" s="326">
        <f t="shared" ref="BM160:BM161" si="875">MAX(B160,E160,H160,K160,N160,Q160,T160,W160,Z160,AC160,AI160,AO160,AR160,AU160)</f>
        <v>42469.182857142856</v>
      </c>
      <c r="BN160" s="329">
        <f t="shared" ref="BN160:BN161" si="876">MAX(C160,F160,I160,L160,O160,R160,U160,X160,AA160,AD160,AJ160,AP160,AS160,AV160)</f>
        <v>257.76190476190476</v>
      </c>
      <c r="BO160" s="355">
        <f t="shared" ref="BO160:BO161" si="877">MAX(D160,G160,J160,M160,P160,S160,V160,Y160,AB160,AE160,AK160,AQ160,AT160,AW160)</f>
        <v>8.1131474093052791</v>
      </c>
    </row>
    <row r="161" spans="1:163" hidden="1" outlineLevel="1" x14ac:dyDescent="0.25">
      <c r="A161" s="333" t="s">
        <v>595</v>
      </c>
      <c r="B161" s="326">
        <f t="shared" ref="B161:AK161" si="878">_xlfn.STDEV.P(B138:B140)</f>
        <v>6989.7034285980899</v>
      </c>
      <c r="C161" s="329">
        <f t="shared" si="878"/>
        <v>31.187604375242845</v>
      </c>
      <c r="D161" s="355">
        <f t="shared" si="878"/>
        <v>4.9018323278118219</v>
      </c>
      <c r="E161" s="326">
        <f t="shared" si="878"/>
        <v>3649.3479342205828</v>
      </c>
      <c r="F161" s="329">
        <f t="shared" si="878"/>
        <v>16.083117442419759</v>
      </c>
      <c r="G161" s="355">
        <f t="shared" si="878"/>
        <v>1.7987566554527274</v>
      </c>
      <c r="H161" s="326">
        <f t="shared" si="878"/>
        <v>3698.6997511227582</v>
      </c>
      <c r="I161" s="329">
        <f t="shared" si="878"/>
        <v>8.9566858950296009</v>
      </c>
      <c r="J161" s="355">
        <f t="shared" si="878"/>
        <v>2.6017777935130075</v>
      </c>
      <c r="K161" s="326">
        <f t="shared" si="878"/>
        <v>1057.9650969142999</v>
      </c>
      <c r="L161" s="329">
        <f t="shared" si="878"/>
        <v>3.39934634239519</v>
      </c>
      <c r="M161" s="355">
        <f t="shared" si="878"/>
        <v>0.94016008359782477</v>
      </c>
      <c r="N161" s="326">
        <f t="shared" si="878"/>
        <v>6151.3332838336764</v>
      </c>
      <c r="O161" s="329">
        <f t="shared" si="878"/>
        <v>32.826141344293816</v>
      </c>
      <c r="P161" s="355">
        <f t="shared" si="878"/>
        <v>1.6158547484676078</v>
      </c>
      <c r="Q161" s="326">
        <f t="shared" si="878"/>
        <v>2807.79423546115</v>
      </c>
      <c r="R161" s="329">
        <f t="shared" si="878"/>
        <v>14.197026292697903</v>
      </c>
      <c r="S161" s="355">
        <f t="shared" si="878"/>
        <v>2.0907745035391812</v>
      </c>
      <c r="T161" s="326">
        <f t="shared" si="878"/>
        <v>7653.1704250431731</v>
      </c>
      <c r="U161" s="329">
        <f t="shared" si="878"/>
        <v>43.222936298014531</v>
      </c>
      <c r="V161" s="355">
        <f t="shared" si="878"/>
        <v>1.2098001439237189</v>
      </c>
      <c r="W161" s="326">
        <f t="shared" si="878"/>
        <v>1382.8309102947692</v>
      </c>
      <c r="X161" s="329">
        <f t="shared" si="878"/>
        <v>8.2596744622425771</v>
      </c>
      <c r="Y161" s="355">
        <f t="shared" si="878"/>
        <v>3.4212684074026831</v>
      </c>
      <c r="Z161" s="326">
        <f t="shared" si="878"/>
        <v>5955.5256647606166</v>
      </c>
      <c r="AA161" s="329">
        <f t="shared" si="878"/>
        <v>36.887215490826449</v>
      </c>
      <c r="AB161" s="355">
        <f t="shared" si="878"/>
        <v>1.7223976580384768</v>
      </c>
      <c r="AC161" s="326">
        <f t="shared" si="878"/>
        <v>6420.7588617130596</v>
      </c>
      <c r="AD161" s="329">
        <f t="shared" si="878"/>
        <v>32.072833779799794</v>
      </c>
      <c r="AE161" s="355">
        <f t="shared" si="878"/>
        <v>2.6432907042734994</v>
      </c>
      <c r="AF161" s="326">
        <f t="shared" si="878"/>
        <v>1615.5990340084049</v>
      </c>
      <c r="AG161" s="329">
        <f t="shared" si="878"/>
        <v>13.572848714334887</v>
      </c>
      <c r="AH161" s="355">
        <f t="shared" si="878"/>
        <v>1.7713729597418342</v>
      </c>
      <c r="AI161" s="326">
        <f t="shared" si="878"/>
        <v>9174.305152228153</v>
      </c>
      <c r="AJ161" s="329">
        <f t="shared" si="878"/>
        <v>54.186919290749699</v>
      </c>
      <c r="AK161" s="355">
        <f t="shared" si="878"/>
        <v>2.5458519319543256</v>
      </c>
      <c r="AL161" s="379"/>
      <c r="AM161" s="380"/>
      <c r="AN161" s="394"/>
      <c r="AO161" s="326">
        <f t="shared" ref="AO161:AT161" si="879">_xlfn.STDEV.P(AO138:AO140)</f>
        <v>4100.4634655853415</v>
      </c>
      <c r="AP161" s="329">
        <f t="shared" si="879"/>
        <v>26.386023236217735</v>
      </c>
      <c r="AQ161" s="355">
        <f t="shared" si="879"/>
        <v>3.0559056425129167</v>
      </c>
      <c r="AR161" s="326">
        <f t="shared" si="879"/>
        <v>2877.1554596974142</v>
      </c>
      <c r="AS161" s="329">
        <f t="shared" si="879"/>
        <v>22.881336402307351</v>
      </c>
      <c r="AT161" s="355">
        <f t="shared" si="879"/>
        <v>2.7690944077742676</v>
      </c>
      <c r="AU161" s="326">
        <f t="shared" ref="AU161:AW161" si="880">_xlfn.STDEV.P(AU138:AU140)</f>
        <v>3135.3089529883564</v>
      </c>
      <c r="AV161" s="329">
        <f t="shared" si="880"/>
        <v>11.045361017187261</v>
      </c>
      <c r="AW161" s="355">
        <f t="shared" si="880"/>
        <v>1.1879717231314888</v>
      </c>
      <c r="AX161" s="326">
        <f t="shared" ref="AX161:BC161" si="881">_xlfn.STDEV.P(AX138:AX140)</f>
        <v>9347.625</v>
      </c>
      <c r="AY161" s="329">
        <f t="shared" si="881"/>
        <v>61</v>
      </c>
      <c r="AZ161" s="355">
        <f t="shared" si="881"/>
        <v>3.1900917408671745</v>
      </c>
      <c r="BA161" s="326">
        <f t="shared" si="881"/>
        <v>2877.1903849415326</v>
      </c>
      <c r="BB161" s="329">
        <f t="shared" si="881"/>
        <v>25.48637980482037</v>
      </c>
      <c r="BC161" s="355">
        <f t="shared" si="881"/>
        <v>3.516515768234441</v>
      </c>
      <c r="BD161" s="326"/>
      <c r="BE161" s="329"/>
      <c r="BF161" s="329"/>
      <c r="BG161" s="326"/>
      <c r="BH161" s="329"/>
      <c r="BI161" s="355"/>
      <c r="BJ161" s="326">
        <f t="shared" si="872"/>
        <v>1057.9650969142999</v>
      </c>
      <c r="BK161" s="329">
        <f t="shared" si="873"/>
        <v>3.39934634239519</v>
      </c>
      <c r="BL161" s="355">
        <f t="shared" si="874"/>
        <v>0.94016008359782477</v>
      </c>
      <c r="BM161" s="326">
        <f t="shared" si="875"/>
        <v>9174.305152228153</v>
      </c>
      <c r="BN161" s="329">
        <f t="shared" si="876"/>
        <v>54.186919290749699</v>
      </c>
      <c r="BO161" s="355">
        <f t="shared" si="877"/>
        <v>4.9018323278118219</v>
      </c>
    </row>
    <row r="162" spans="1:163" hidden="1" outlineLevel="1" x14ac:dyDescent="0.25">
      <c r="A162" s="284"/>
      <c r="B162" s="326"/>
      <c r="C162" s="329"/>
      <c r="D162" s="355"/>
      <c r="E162" s="326"/>
      <c r="F162" s="329"/>
      <c r="G162" s="355"/>
      <c r="H162" s="326"/>
      <c r="I162" s="329"/>
      <c r="J162" s="355"/>
      <c r="K162" s="326"/>
      <c r="L162" s="329"/>
      <c r="M162" s="355"/>
      <c r="N162" s="1026" t="s">
        <v>234</v>
      </c>
      <c r="O162" s="1026"/>
      <c r="P162" s="1027"/>
      <c r="Q162" s="326"/>
      <c r="R162" s="329"/>
      <c r="S162" s="355"/>
      <c r="T162" s="326"/>
      <c r="U162" s="329"/>
      <c r="V162" s="355"/>
      <c r="W162" s="326"/>
      <c r="X162" s="329"/>
      <c r="Y162" s="355"/>
      <c r="Z162" s="326"/>
      <c r="AA162" s="329"/>
      <c r="AB162" s="355"/>
      <c r="AC162" s="326"/>
      <c r="AD162" s="329"/>
      <c r="AE162" s="355"/>
      <c r="AF162" s="1023" t="s">
        <v>236</v>
      </c>
      <c r="AG162" s="1023"/>
      <c r="AH162" s="1024"/>
      <c r="AI162" s="1023" t="s">
        <v>236</v>
      </c>
      <c r="AJ162" s="1023"/>
      <c r="AK162" s="1024"/>
      <c r="AL162" s="989"/>
      <c r="AM162" s="989"/>
      <c r="AN162" s="990"/>
      <c r="AO162" s="989"/>
      <c r="AP162" s="989"/>
      <c r="AQ162" s="990"/>
      <c r="AR162" s="989"/>
      <c r="AS162" s="989"/>
      <c r="AT162" s="990"/>
      <c r="AU162" s="989"/>
      <c r="AV162" s="989"/>
      <c r="AW162" s="990"/>
      <c r="AX162" s="326"/>
      <c r="AY162" s="329"/>
      <c r="AZ162" s="329"/>
      <c r="BA162" s="989"/>
      <c r="BB162" s="989"/>
      <c r="BC162" s="990"/>
      <c r="BD162" s="326"/>
      <c r="BE162" s="329"/>
      <c r="BF162" s="329"/>
      <c r="BG162" s="326"/>
      <c r="BH162" s="329"/>
      <c r="BI162" s="355"/>
      <c r="BJ162" s="326"/>
      <c r="BK162" s="329"/>
      <c r="BL162" s="355"/>
      <c r="BM162" s="326"/>
      <c r="BN162" s="329"/>
      <c r="BO162" s="355"/>
    </row>
    <row r="163" spans="1:163" hidden="1" outlineLevel="1" x14ac:dyDescent="0.25">
      <c r="A163" s="284" t="s">
        <v>233</v>
      </c>
      <c r="B163" s="326">
        <f t="shared" ref="B163:AH163" si="882">_xlfn.STDEV.P(B138:B158)</f>
        <v>23820.84216019903</v>
      </c>
      <c r="C163" s="329">
        <f t="shared" si="882"/>
        <v>136.16583193609208</v>
      </c>
      <c r="D163" s="355">
        <f t="shared" si="882"/>
        <v>5.7598405677016453</v>
      </c>
      <c r="E163" s="326">
        <f t="shared" si="882"/>
        <v>23969.41983317941</v>
      </c>
      <c r="F163" s="329">
        <f t="shared" si="882"/>
        <v>132.20388980936085</v>
      </c>
      <c r="G163" s="355">
        <f t="shared" ref="G163" si="883">_xlfn.STDEV.P(G138:G158)</f>
        <v>3.3185452317459836</v>
      </c>
      <c r="H163" s="326">
        <f t="shared" si="882"/>
        <v>15888.829755862876</v>
      </c>
      <c r="I163" s="329">
        <f t="shared" si="882"/>
        <v>72.953748588448676</v>
      </c>
      <c r="J163" s="355">
        <f t="shared" si="882"/>
        <v>3.1806332737486351</v>
      </c>
      <c r="K163" s="326">
        <f t="shared" si="882"/>
        <v>20133.043527049478</v>
      </c>
      <c r="L163" s="329">
        <f t="shared" si="882"/>
        <v>93.477585318171862</v>
      </c>
      <c r="M163" s="355">
        <f t="shared" si="882"/>
        <v>4.5962366060724174</v>
      </c>
      <c r="N163" s="326">
        <f t="shared" si="882"/>
        <v>4482.0083053937069</v>
      </c>
      <c r="O163" s="329">
        <f t="shared" si="882"/>
        <v>26.83746323903539</v>
      </c>
      <c r="P163" s="355">
        <f t="shared" si="882"/>
        <v>1.9921570553520442</v>
      </c>
      <c r="Q163" s="326">
        <f t="shared" si="882"/>
        <v>22687.788324950157</v>
      </c>
      <c r="R163" s="329">
        <f t="shared" si="882"/>
        <v>120.07312586734616</v>
      </c>
      <c r="S163" s="355">
        <f t="shared" si="882"/>
        <v>3.9148980775799465</v>
      </c>
      <c r="T163" s="326">
        <f t="shared" si="882"/>
        <v>9482.8650519392249</v>
      </c>
      <c r="U163" s="329">
        <f t="shared" si="882"/>
        <v>49.996779941663718</v>
      </c>
      <c r="V163" s="355">
        <f t="shared" si="882"/>
        <v>0.92239560724576231</v>
      </c>
      <c r="W163" s="326">
        <f t="shared" si="882"/>
        <v>19483.866274522294</v>
      </c>
      <c r="X163" s="329">
        <f t="shared" si="882"/>
        <v>115.68318218071191</v>
      </c>
      <c r="Y163" s="355">
        <f t="shared" si="882"/>
        <v>5.0047983872835218</v>
      </c>
      <c r="Z163" s="326">
        <f t="shared" si="882"/>
        <v>9124.5134699627924</v>
      </c>
      <c r="AA163" s="329">
        <f t="shared" si="882"/>
        <v>52.088665033223023</v>
      </c>
      <c r="AB163" s="355">
        <f t="shared" si="882"/>
        <v>1.6062657113393901</v>
      </c>
      <c r="AC163" s="326">
        <f t="shared" si="882"/>
        <v>16622.46399477603</v>
      </c>
      <c r="AD163" s="329">
        <f t="shared" si="882"/>
        <v>78.374153497871589</v>
      </c>
      <c r="AE163" s="355">
        <f t="shared" si="882"/>
        <v>5.1040019997720734</v>
      </c>
      <c r="AF163" s="326">
        <f t="shared" si="882"/>
        <v>27845.355632797891</v>
      </c>
      <c r="AG163" s="329">
        <f t="shared" si="882"/>
        <v>138.3777242110273</v>
      </c>
      <c r="AH163" s="355">
        <f t="shared" si="882"/>
        <v>2.9823400208400899</v>
      </c>
      <c r="AI163" s="326">
        <f t="shared" ref="AI163:AK163" si="884">_xlfn.STDEV.P(AI138:AI158)</f>
        <v>7890.8536163146618</v>
      </c>
      <c r="AJ163" s="329">
        <f t="shared" si="884"/>
        <v>45.728916309574544</v>
      </c>
      <c r="AK163" s="355">
        <f t="shared" si="884"/>
        <v>1.8437784354589974</v>
      </c>
      <c r="AL163" s="379"/>
      <c r="AM163" s="380"/>
      <c r="AN163" s="394"/>
      <c r="AO163" s="326">
        <f t="shared" ref="AO163:AQ163" si="885">_xlfn.STDEV.P(AO138:AO158)</f>
        <v>10660.361788254701</v>
      </c>
      <c r="AP163" s="329">
        <f t="shared" si="885"/>
        <v>58.576887085951164</v>
      </c>
      <c r="AQ163" s="355">
        <f t="shared" si="885"/>
        <v>3.2825464277804914</v>
      </c>
      <c r="AR163" s="326">
        <f t="shared" ref="AR163:AT163" si="886">_xlfn.STDEV.P(AR138:AR158)</f>
        <v>7221.2500855174967</v>
      </c>
      <c r="AS163" s="329">
        <f t="shared" si="886"/>
        <v>42.644605265808757</v>
      </c>
      <c r="AT163" s="355">
        <f t="shared" si="886"/>
        <v>2.1895787796039206</v>
      </c>
      <c r="AU163" s="326">
        <f t="shared" ref="AU163:AW163" si="887">_xlfn.STDEV.P(AU138:AU158)</f>
        <v>9239.8565255061858</v>
      </c>
      <c r="AV163" s="329">
        <f t="shared" si="887"/>
        <v>56.096410368541655</v>
      </c>
      <c r="AW163" s="355">
        <f t="shared" si="887"/>
        <v>5.7094105074450816</v>
      </c>
      <c r="AX163" s="326"/>
      <c r="AY163" s="329"/>
      <c r="AZ163" s="329"/>
      <c r="BA163" s="326">
        <f t="shared" ref="BA163:BC163" si="888">_xlfn.STDEV.P(BA138:BA158)</f>
        <v>5446.3832525438011</v>
      </c>
      <c r="BB163" s="329">
        <f t="shared" si="888"/>
        <v>32.807623139362313</v>
      </c>
      <c r="BC163" s="355">
        <f t="shared" si="888"/>
        <v>2.1054437165052593</v>
      </c>
      <c r="BD163" s="326"/>
      <c r="BE163" s="329"/>
      <c r="BF163" s="329"/>
      <c r="BG163" s="326"/>
      <c r="BH163" s="329"/>
      <c r="BI163" s="355"/>
      <c r="BJ163" s="326">
        <f t="shared" ref="BJ163" si="889">MIN(B163,E163,H163,K163,N163,Q163,T163,W163,Z163,AC163,AI163,AO163,AR163,AU163)</f>
        <v>4482.0083053937069</v>
      </c>
      <c r="BK163" s="329">
        <f t="shared" ref="BK163" si="890">MIN(C163,F163,I163,L163,O163,R163,U163,X163,AA163,AD163,AJ163,AP163,AS163,AV163)</f>
        <v>26.83746323903539</v>
      </c>
      <c r="BL163" s="355">
        <f t="shared" ref="BL163" si="891">MIN(D163,G163,J163,M163,P163,S163,V163,Y163,AB163,AE163,AK163,AQ163,AT163,AW163)</f>
        <v>0.92239560724576231</v>
      </c>
      <c r="BM163" s="326">
        <f t="shared" ref="BM163" si="892">MAX(B163,E163,H163,K163,N163,Q163,T163,W163,Z163,AC163,AI163,AO163,AR163,AU163)</f>
        <v>23969.41983317941</v>
      </c>
      <c r="BN163" s="329">
        <f t="shared" ref="BN163" si="893">MAX(C163,F163,I163,L163,O163,R163,U163,X163,AA163,AD163,AJ163,AP163,AS163,AV163)</f>
        <v>136.16583193609208</v>
      </c>
      <c r="BO163" s="355">
        <f t="shared" ref="BO163" si="894">MAX(D163,G163,J163,M163,P163,S163,V163,Y163,AB163,AE163,AK163,AQ163,AT163,AW163)</f>
        <v>5.7598405677016453</v>
      </c>
    </row>
    <row r="164" spans="1:163" hidden="1" outlineLevel="1" x14ac:dyDescent="0.25">
      <c r="B164" s="1022" t="s">
        <v>236</v>
      </c>
      <c r="C164" s="1022"/>
      <c r="D164" s="349"/>
      <c r="G164" s="12"/>
      <c r="Z164" s="1025" t="s">
        <v>234</v>
      </c>
      <c r="AA164" s="1025"/>
      <c r="AB164" s="352"/>
    </row>
    <row r="165" spans="1:163" hidden="1" outlineLevel="1" x14ac:dyDescent="0.25"/>
    <row r="166" spans="1:163" hidden="1" outlineLevel="1" x14ac:dyDescent="0.25"/>
    <row r="167" spans="1:163" hidden="1" outlineLevel="1" x14ac:dyDescent="0.25">
      <c r="A167" s="324" t="s">
        <v>191</v>
      </c>
      <c r="AL167" s="1005" t="s">
        <v>315</v>
      </c>
      <c r="AM167" s="1005"/>
      <c r="AN167" s="1005"/>
      <c r="AO167" s="991"/>
      <c r="AP167" s="991"/>
      <c r="AQ167" s="353"/>
      <c r="AR167" s="991"/>
      <c r="AS167" s="991"/>
      <c r="AT167" s="353"/>
      <c r="AU167" s="991"/>
      <c r="AV167" s="991"/>
      <c r="AW167" s="353"/>
      <c r="AX167" s="991"/>
      <c r="AY167" s="991"/>
      <c r="AZ167" s="353"/>
      <c r="BA167" s="991"/>
      <c r="BB167" s="991"/>
      <c r="BC167" s="353"/>
      <c r="BD167" s="697" t="s">
        <v>344</v>
      </c>
      <c r="BE167" s="696"/>
      <c r="BF167" s="696"/>
      <c r="BG167" s="324" t="s">
        <v>290</v>
      </c>
    </row>
    <row r="168" spans="1:163" hidden="1" outlineLevel="1" x14ac:dyDescent="0.25">
      <c r="A168" s="234" t="s">
        <v>24</v>
      </c>
      <c r="B168" s="273" t="str">
        <f>Tabelle3[[#Headers],[Ned (€)]]</f>
        <v>Ned (€)</v>
      </c>
      <c r="C168" s="274" t="str">
        <f>C$8</f>
        <v>Ned (Backer)</v>
      </c>
      <c r="D168" s="337" t="str">
        <f t="shared" ref="D168:BF168" si="895">D$8</f>
        <v>Ned (€/B)</v>
      </c>
      <c r="E168" s="276" t="str">
        <f t="shared" si="895"/>
        <v>Werkzeuge (€)</v>
      </c>
      <c r="F168" s="277" t="str">
        <f t="shared" si="895"/>
        <v>Werkzeuge (Backer)</v>
      </c>
      <c r="G168" s="373" t="str">
        <f t="shared" si="895"/>
        <v>Werkz (€/B)</v>
      </c>
      <c r="H168" s="280" t="str">
        <f t="shared" si="895"/>
        <v>DSK Fasar (€)</v>
      </c>
      <c r="I168" s="281" t="str">
        <f t="shared" si="895"/>
        <v>DSK Fasar (Backer)</v>
      </c>
      <c r="J168" s="282" t="str">
        <f t="shared" si="895"/>
        <v>DSK Fasar (€/B)</v>
      </c>
      <c r="K168" s="273" t="str">
        <f t="shared" si="895"/>
        <v>Mythen (€)</v>
      </c>
      <c r="L168" s="274" t="str">
        <f t="shared" si="895"/>
        <v>Mythen (Backer)</v>
      </c>
      <c r="M168" s="274" t="str">
        <f t="shared" si="895"/>
        <v>Mythen (€/B)</v>
      </c>
      <c r="N168" s="278" t="str">
        <f t="shared" si="895"/>
        <v>SOK (€)</v>
      </c>
      <c r="O168" s="279" t="str">
        <f t="shared" si="895"/>
        <v>SOK (Backer)</v>
      </c>
      <c r="P168" s="279" t="str">
        <f t="shared" si="895"/>
        <v>SOK (€/B)</v>
      </c>
      <c r="Q168" s="275" t="str">
        <f t="shared" si="895"/>
        <v>RE (€)</v>
      </c>
      <c r="R168" s="275" t="str">
        <f t="shared" si="895"/>
        <v>RE (Backer)</v>
      </c>
      <c r="S168" s="275" t="str">
        <f t="shared" si="895"/>
        <v>RE (€/B)</v>
      </c>
      <c r="T168" s="275" t="str">
        <f t="shared" si="895"/>
        <v>DGG (€)</v>
      </c>
      <c r="U168" s="275" t="str">
        <f t="shared" si="895"/>
        <v>DGG (Backer)</v>
      </c>
      <c r="V168" s="275" t="str">
        <f t="shared" si="895"/>
        <v>DGG (€/B)</v>
      </c>
      <c r="W168" s="280" t="str">
        <f t="shared" si="895"/>
        <v>DSK SV (€)</v>
      </c>
      <c r="X168" s="281" t="str">
        <f t="shared" si="895"/>
        <v>DSK SV (Backer)</v>
      </c>
      <c r="Y168" s="282" t="str">
        <f t="shared" si="895"/>
        <v>DSK SV (€/B)</v>
      </c>
      <c r="Z168" s="278" t="str">
        <f t="shared" si="895"/>
        <v>WW (€)</v>
      </c>
      <c r="AA168" s="279" t="str">
        <f t="shared" si="895"/>
        <v>WW (Backer)</v>
      </c>
      <c r="AB168" s="279" t="str">
        <f t="shared" si="895"/>
        <v>WW (€/B)</v>
      </c>
      <c r="AC168" s="280" t="str">
        <f t="shared" si="895"/>
        <v>DSK R (€)</v>
      </c>
      <c r="AD168" s="281" t="str">
        <f t="shared" si="895"/>
        <v>DSK R (Backer)</v>
      </c>
      <c r="AE168" s="282" t="str">
        <f t="shared" si="895"/>
        <v>DSK R (€/B)</v>
      </c>
      <c r="AF168" s="275" t="str">
        <f t="shared" si="895"/>
        <v>Ära (€)</v>
      </c>
      <c r="AG168" s="275" t="str">
        <f t="shared" si="895"/>
        <v>Ära (Backer)</v>
      </c>
      <c r="AH168" s="275" t="str">
        <f t="shared" si="895"/>
        <v>Ära (€/B)</v>
      </c>
      <c r="AI168" s="275" t="str">
        <f t="shared" si="895"/>
        <v>Mosaik (€)</v>
      </c>
      <c r="AJ168" s="275" t="str">
        <f t="shared" si="895"/>
        <v>Mosaik (Backer)</v>
      </c>
      <c r="AK168" s="275" t="str">
        <f t="shared" si="895"/>
        <v>Mosaik (€/B)</v>
      </c>
      <c r="AL168" s="280" t="str">
        <f t="shared" si="895"/>
        <v>DSK ES (€)</v>
      </c>
      <c r="AM168" s="281" t="str">
        <f t="shared" si="895"/>
        <v>DSK ES (Backer)</v>
      </c>
      <c r="AN168" s="282" t="str">
        <f t="shared" si="895"/>
        <v>DSK ES (€/B)</v>
      </c>
      <c r="AO168" s="278" t="str">
        <f t="shared" si="895"/>
        <v>ES (€)</v>
      </c>
      <c r="AP168" s="279" t="str">
        <f t="shared" si="895"/>
        <v>ES (Backer)</v>
      </c>
      <c r="AQ168" s="389" t="str">
        <f t="shared" si="895"/>
        <v>ES (€/B)</v>
      </c>
      <c r="AR168" s="278" t="str">
        <f t="shared" si="895"/>
        <v>WF (€)</v>
      </c>
      <c r="AS168" s="279" t="str">
        <f t="shared" si="895"/>
        <v>WF(Backer)</v>
      </c>
      <c r="AT168" s="389" t="str">
        <f t="shared" si="895"/>
        <v>WF (€/B)</v>
      </c>
      <c r="AU168" s="653" t="str">
        <f t="shared" si="895"/>
        <v>AKM (€)</v>
      </c>
      <c r="AV168" s="274" t="str">
        <f t="shared" si="895"/>
        <v>AKM(Backer)</v>
      </c>
      <c r="AW168" s="274" t="str">
        <f t="shared" si="895"/>
        <v>AKM (€/B)</v>
      </c>
      <c r="AX168" s="275" t="str">
        <f t="shared" si="895"/>
        <v>Lex (€)</v>
      </c>
      <c r="AY168" s="275" t="str">
        <f t="shared" si="895"/>
        <v>Lex(Backer)</v>
      </c>
      <c r="AZ168" s="654" t="str">
        <f t="shared" si="895"/>
        <v>Lex(€/B)</v>
      </c>
      <c r="BA168" s="275" t="str">
        <f t="shared" si="895"/>
        <v>KA (€)</v>
      </c>
      <c r="BB168" s="275" t="str">
        <f t="shared" si="895"/>
        <v>KA (Backer)</v>
      </c>
      <c r="BC168" s="654" t="str">
        <f t="shared" si="895"/>
        <v>KA (€/B)</v>
      </c>
      <c r="BD168" s="805" t="str">
        <f t="shared" si="895"/>
        <v>MAR (€)</v>
      </c>
      <c r="BE168" s="805" t="str">
        <f t="shared" si="895"/>
        <v>MAR (Backer)</v>
      </c>
      <c r="BF168" s="806" t="str">
        <f t="shared" si="895"/>
        <v>MAR (€/B)</v>
      </c>
      <c r="BG168" s="1006" t="s">
        <v>202</v>
      </c>
      <c r="BH168" s="1006"/>
      <c r="BI168" s="1006"/>
      <c r="BJ168" s="1006"/>
      <c r="CE168" s="167"/>
      <c r="CF168" s="166"/>
      <c r="CG168" s="166"/>
      <c r="CH168" s="166"/>
      <c r="CI168" s="166"/>
      <c r="CJ168" s="166"/>
      <c r="CK168" s="166"/>
      <c r="CL168" s="166"/>
      <c r="CM168" s="166"/>
      <c r="CN168" s="166"/>
      <c r="CO168" s="166"/>
      <c r="CP168" s="166"/>
      <c r="CQ168" s="166"/>
      <c r="CR168" s="166"/>
      <c r="CS168" s="166"/>
      <c r="CT168" s="166"/>
      <c r="CU168" s="166"/>
      <c r="CV168" s="166"/>
      <c r="CW168" s="166"/>
      <c r="CX168" s="166"/>
      <c r="CY168" s="166"/>
      <c r="CZ168" s="166"/>
      <c r="DA168" s="166"/>
      <c r="DB168" s="166"/>
      <c r="DC168" s="166"/>
      <c r="DD168" s="166"/>
      <c r="DE168" s="166"/>
      <c r="DF168" s="166"/>
      <c r="DG168" s="166"/>
      <c r="DH168" s="166"/>
      <c r="DI168" s="166"/>
      <c r="DJ168" s="166"/>
      <c r="DK168" s="166"/>
      <c r="DL168" s="166"/>
      <c r="DM168" s="166"/>
      <c r="DN168" s="166"/>
      <c r="DO168" s="166"/>
      <c r="DP168" s="166"/>
      <c r="DQ168" s="166"/>
      <c r="DR168" s="166"/>
      <c r="DS168" s="166"/>
      <c r="DT168" s="166"/>
      <c r="DU168" s="166"/>
      <c r="DV168" s="166"/>
      <c r="DW168" s="166"/>
      <c r="DX168" s="166"/>
      <c r="DY168" s="166"/>
      <c r="DZ168" s="166"/>
      <c r="EA168" s="166"/>
      <c r="EB168" s="166"/>
      <c r="EC168" s="166"/>
      <c r="ED168" s="166"/>
      <c r="EE168" s="166"/>
      <c r="EF168" s="166"/>
      <c r="EG168" s="166"/>
      <c r="EH168" s="166"/>
      <c r="EI168" s="166"/>
      <c r="EJ168" s="166"/>
      <c r="EK168" s="166"/>
      <c r="EL168" s="166"/>
      <c r="FB168" s="166"/>
      <c r="FC168" s="166"/>
      <c r="FD168" s="166"/>
      <c r="FE168" s="166"/>
      <c r="FF168" s="166"/>
      <c r="FG168" s="166"/>
    </row>
    <row r="169" spans="1:163" hidden="1" outlineLevel="1" x14ac:dyDescent="0.25">
      <c r="A169" s="333" t="s">
        <v>198</v>
      </c>
      <c r="B169" s="270">
        <f>SUM(B59:B60)</f>
        <v>0.2688908493062796</v>
      </c>
      <c r="C169" s="270">
        <f>SUM(C59:C60)</f>
        <v>0.23631123919308358</v>
      </c>
      <c r="D169" s="338"/>
      <c r="E169" s="270">
        <f>SUM(E59:E60)</f>
        <v>0.29010960685643317</v>
      </c>
      <c r="F169" s="270">
        <f>SUM(F59:F60)</f>
        <v>0.2724867724867725</v>
      </c>
      <c r="G169" s="338"/>
      <c r="H169" s="270">
        <f>SUM(H59:H60)</f>
        <v>0.34487525668181157</v>
      </c>
      <c r="I169" s="270">
        <f>SUM(I59:I60)</f>
        <v>0.35410334346504557</v>
      </c>
      <c r="J169" s="270"/>
      <c r="K169" s="270">
        <f>SUM(K59:K60)</f>
        <v>0.27260503828160593</v>
      </c>
      <c r="L169" s="270">
        <f>SUM(L59:L60)</f>
        <v>0.29175050301810868</v>
      </c>
      <c r="M169" s="270"/>
      <c r="N169" s="270">
        <f>SUM(N59:N60)</f>
        <v>0.47684637167105159</v>
      </c>
      <c r="O169" s="270">
        <f>SUM(O59:O60)</f>
        <v>0.47415865384615385</v>
      </c>
      <c r="P169" s="270"/>
      <c r="Q169" s="270">
        <f>SUM(Q59:Q60)</f>
        <v>0.24667419534092858</v>
      </c>
      <c r="R169" s="270">
        <f>SUM(R59:R60)</f>
        <v>0.24366706875753921</v>
      </c>
      <c r="S169" s="270"/>
      <c r="T169" s="270">
        <f>SUM(T59:T60)</f>
        <v>0.4329473274856328</v>
      </c>
      <c r="U169" s="270">
        <f>SUM(U59:U60)</f>
        <v>0.4276923076923077</v>
      </c>
      <c r="V169" s="270"/>
      <c r="W169" s="270">
        <f>SUM(W59:W60)</f>
        <v>0.28160155673121195</v>
      </c>
      <c r="X169" s="270">
        <f>SUM(X59:X60)</f>
        <v>0.26666666666666666</v>
      </c>
      <c r="Y169" s="270"/>
      <c r="Z169" s="270">
        <f>SUM(Z59:Z60)</f>
        <v>0.37416739870852406</v>
      </c>
      <c r="AA169" s="270">
        <f>SUM(AA59:AA60)</f>
        <v>0.36785714285714288</v>
      </c>
      <c r="AB169" s="270"/>
      <c r="AC169" s="270">
        <f>SUM(AC59:AC60)</f>
        <v>0.3154105054071949</v>
      </c>
      <c r="AD169" s="270">
        <f>SUM(AD59:AD60)</f>
        <v>0.33085501858736061</v>
      </c>
      <c r="AE169" s="270"/>
      <c r="AF169" s="270">
        <f>SUM(AF59:AF60)</f>
        <v>0.22318924319574351</v>
      </c>
      <c r="AG169" s="270">
        <f>SUM(AG59:AG60)</f>
        <v>0.22535211267605634</v>
      </c>
      <c r="AH169" s="270"/>
      <c r="AI169" s="270">
        <f>SUM(AI59:AI60)</f>
        <v>0.42490511261556035</v>
      </c>
      <c r="AJ169" s="270">
        <f>SUM(AJ59:AJ60)</f>
        <v>0.41745894554883317</v>
      </c>
      <c r="AK169" s="270"/>
      <c r="AL169" s="391"/>
      <c r="AM169" s="391"/>
      <c r="AN169" s="270"/>
      <c r="AO169" s="270">
        <f>SUM(AO59:AO60)</f>
        <v>0.36881641090983558</v>
      </c>
      <c r="AP169" s="270">
        <f>SUM(AP59:AP60)</f>
        <v>0.35149863760217986</v>
      </c>
      <c r="AQ169" s="335"/>
      <c r="AR169" s="270">
        <f>SUM(AR59:AR60)</f>
        <v>0.41677736628474421</v>
      </c>
      <c r="AS169" s="270">
        <f>SUM(AS59:AS60)</f>
        <v>0.39909443725743854</v>
      </c>
      <c r="AT169" s="335"/>
      <c r="AU169" s="270">
        <f>SUM(AU59:AU60)</f>
        <v>0.37752259085308687</v>
      </c>
      <c r="AV169" s="270">
        <f>SUM(AV59:AV60)</f>
        <v>0.3964165733482643</v>
      </c>
      <c r="AW169" s="335"/>
      <c r="AX169" s="270">
        <f>SUM(AX59:AX60)</f>
        <v>0.30141515115675882</v>
      </c>
      <c r="AY169" s="270">
        <f>SUM(AY59:AY60)</f>
        <v>0.29159802306425042</v>
      </c>
      <c r="AZ169" s="335"/>
      <c r="BA169" s="270">
        <f>SUM(BA59:BA60)</f>
        <v>0.43105647537681457</v>
      </c>
      <c r="BB169" s="270">
        <f>SUM(BB59:BB60)</f>
        <v>0.42134484885872919</v>
      </c>
      <c r="BC169" s="335"/>
      <c r="BD169" s="270">
        <f>SUM(BD59:BD60)</f>
        <v>0.46913393866796643</v>
      </c>
      <c r="BE169" s="270">
        <f>SUM(BE59:BE60)</f>
        <v>0.46723163841807908</v>
      </c>
      <c r="BF169" s="335"/>
      <c r="BG169" s="313">
        <f t="shared" ref="BG169:BG171" si="896">AVERAGE(B169,E169,H169,K169,N169,Q169,T169,W169,Z169,AC169,AI169,AO169,AR169,AU169,AX169,BA169)</f>
        <v>0.35153882585421714</v>
      </c>
      <c r="BH169" s="313">
        <f t="shared" ref="BH169:BH171" si="897">AVERAGE(C169,F169,I169,L169,O169,R169,U169,X169,AA169,AD169,AJ169,AP169,AS169,AV169,AY169,BB169)</f>
        <v>0.34643501139061733</v>
      </c>
      <c r="BI169" s="313"/>
      <c r="BJ169" t="s">
        <v>209</v>
      </c>
    </row>
    <row r="170" spans="1:163" hidden="1" outlineLevel="1" x14ac:dyDescent="0.25">
      <c r="A170" s="833" t="s">
        <v>199</v>
      </c>
      <c r="B170" s="269">
        <f>SUM(B61:B77)</f>
        <v>0.52629721709840405</v>
      </c>
      <c r="C170" s="269">
        <f>SUM(C61:C77)</f>
        <v>0.53314121037463968</v>
      </c>
      <c r="D170" s="339"/>
      <c r="E170" s="269">
        <f>SUM(E61:E77)</f>
        <v>0.43362370460629995</v>
      </c>
      <c r="F170" s="269">
        <f>SUM(F61:F77)</f>
        <v>0.43783068783068785</v>
      </c>
      <c r="G170" s="339"/>
      <c r="H170" s="269">
        <f>SUM(H61:H77)</f>
        <v>0.47303021973579967</v>
      </c>
      <c r="I170" s="269">
        <f>SUM(I61:I77)</f>
        <v>0.48024316109422494</v>
      </c>
      <c r="J170" s="269"/>
      <c r="K170" s="269">
        <f>SUM(K61:K77)</f>
        <v>0.52117433965618787</v>
      </c>
      <c r="L170" s="269">
        <f>SUM(L61:L77)</f>
        <v>0.51509054325955728</v>
      </c>
      <c r="M170" s="269"/>
      <c r="N170" s="269">
        <f>SUM(N61:N77)</f>
        <v>0.41067522179046922</v>
      </c>
      <c r="O170" s="269">
        <f>SUM(O61:O77)</f>
        <v>0.41706730769230771</v>
      </c>
      <c r="P170" s="269"/>
      <c r="Q170" s="269">
        <f>SUM(Q61:Q77)</f>
        <v>0.52063855449454177</v>
      </c>
      <c r="R170" s="269">
        <f>SUM(R61:R77)</f>
        <v>0.53437876960193009</v>
      </c>
      <c r="S170" s="269"/>
      <c r="T170" s="269">
        <f>SUM(T61:T77)</f>
        <v>0.4213066586008728</v>
      </c>
      <c r="U170" s="269">
        <f>SUM(U61:U77)</f>
        <v>0.42051282051282046</v>
      </c>
      <c r="V170" s="269"/>
      <c r="W170" s="269">
        <f>SUM(W61:W77)</f>
        <v>0.51412090728240933</v>
      </c>
      <c r="X170" s="269">
        <f>SUM(X61:X77)</f>
        <v>0.53798449612403099</v>
      </c>
      <c r="Y170" s="269"/>
      <c r="Z170" s="269">
        <f>SUM(Z61:Z77)</f>
        <v>0.48862792238815173</v>
      </c>
      <c r="AA170" s="269">
        <f>SUM(AA61:AA77)</f>
        <v>0.49761904761904763</v>
      </c>
      <c r="AB170" s="269"/>
      <c r="AC170" s="269">
        <f>SUM(AC61:AC77)</f>
        <v>0.42140256014124916</v>
      </c>
      <c r="AD170" s="269">
        <f>SUM(AD61:AD77)</f>
        <v>0.40520446096654278</v>
      </c>
      <c r="AE170" s="269"/>
      <c r="AF170" s="269">
        <f>SUM(AF61:AF77)</f>
        <v>0.56953121551727592</v>
      </c>
      <c r="AG170" s="269">
        <f>SUM(AG61:AG77)</f>
        <v>0.56690140845070425</v>
      </c>
      <c r="AH170" s="269"/>
      <c r="AI170" s="269">
        <f>SUM(AI61:AI77)</f>
        <v>0.42861732126072311</v>
      </c>
      <c r="AJ170" s="269">
        <f>SUM(AJ61:AJ77)</f>
        <v>0.42350907519446851</v>
      </c>
      <c r="AK170" s="269"/>
      <c r="AL170" s="391"/>
      <c r="AM170" s="391"/>
      <c r="AN170" s="269"/>
      <c r="AO170" s="269">
        <f>SUM(AO61:AO77)</f>
        <v>0.45304551615639904</v>
      </c>
      <c r="AP170" s="269">
        <f>SUM(AP61:AP77)</f>
        <v>0.46049046321525883</v>
      </c>
      <c r="AQ170" s="350"/>
      <c r="AR170" s="269">
        <f>SUM(AR61:AR77)</f>
        <v>0.46235359200670406</v>
      </c>
      <c r="AS170" s="269">
        <f>SUM(AS61:AS77)</f>
        <v>0.46765847347994827</v>
      </c>
      <c r="AT170" s="350"/>
      <c r="AU170" s="269">
        <f>SUM(AU61:AU77)</f>
        <v>0.46184911017666036</v>
      </c>
      <c r="AV170" s="269">
        <f>SUM(AV61:AV77)</f>
        <v>0.43262411347517726</v>
      </c>
      <c r="AW170" s="350"/>
      <c r="AX170" s="269">
        <f>SUM(AX61:AX77)</f>
        <v>0.58280373846806821</v>
      </c>
      <c r="AY170" s="269">
        <f>SUM(AY61:AY77)</f>
        <v>0.5823723228995058</v>
      </c>
      <c r="AZ170" s="350"/>
      <c r="BA170" s="269">
        <f>SUM(BA61:BA77)</f>
        <v>0.40979041024239116</v>
      </c>
      <c r="BB170" s="269">
        <f>SUM(BB61:BB77)</f>
        <v>0.41949413942011099</v>
      </c>
      <c r="BC170" s="350"/>
      <c r="BD170" s="269">
        <f>SUM(BD61:BD77)</f>
        <v>0.39079522700289898</v>
      </c>
      <c r="BE170" s="269">
        <f>SUM(BE61:BE77)</f>
        <v>0.38926553672316383</v>
      </c>
      <c r="BF170" s="350"/>
      <c r="BG170" s="313">
        <f t="shared" si="896"/>
        <v>0.47058481213158326</v>
      </c>
      <c r="BH170" s="313">
        <f t="shared" si="897"/>
        <v>0.47282631829751615</v>
      </c>
      <c r="BI170" s="313"/>
      <c r="BJ170" t="s">
        <v>213</v>
      </c>
    </row>
    <row r="171" spans="1:163" hidden="1" outlineLevel="1" x14ac:dyDescent="0.25">
      <c r="A171" s="284" t="s">
        <v>200</v>
      </c>
      <c r="B171" s="270">
        <f>SUM(B78:B79)</f>
        <v>0.20481193359531635</v>
      </c>
      <c r="C171" s="270">
        <f>SUM(C78:C79)</f>
        <v>0.2305475504322767</v>
      </c>
      <c r="D171" s="338"/>
      <c r="E171" s="270">
        <f>SUM(E78:E79)</f>
        <v>0.27626668853726688</v>
      </c>
      <c r="F171" s="270">
        <f>SUM(F78:F79)</f>
        <v>0.28968253968253965</v>
      </c>
      <c r="G171" s="338"/>
      <c r="H171" s="270">
        <f>SUM(H78:H79)</f>
        <v>0.18209452358238876</v>
      </c>
      <c r="I171" s="270">
        <f>SUM(I78:I79)</f>
        <v>0.16565349544072949</v>
      </c>
      <c r="J171" s="270"/>
      <c r="K171" s="270">
        <f>SUM(K78:K79)</f>
        <v>0.20622062206220626</v>
      </c>
      <c r="L171" s="270">
        <f>SUM(L78:L79)</f>
        <v>0.19315895372233405</v>
      </c>
      <c r="M171" s="270"/>
      <c r="N171" s="270">
        <f>SUM(N78:N79)</f>
        <v>0.11247840653847918</v>
      </c>
      <c r="O171" s="270">
        <f>SUM(O78:O79)</f>
        <v>0.10877403846153844</v>
      </c>
      <c r="P171" s="270"/>
      <c r="Q171" s="270">
        <f>SUM(Q78:Q79)</f>
        <v>0.23268725016452974</v>
      </c>
      <c r="R171" s="270">
        <f>SUM(R78:R79)</f>
        <v>0.22195416164053072</v>
      </c>
      <c r="S171" s="270"/>
      <c r="T171" s="270">
        <f>SUM(T78:T79)</f>
        <v>0.1457460139134944</v>
      </c>
      <c r="U171" s="270">
        <f>SUM(U78:U79)</f>
        <v>0.15179487179487183</v>
      </c>
      <c r="V171" s="270"/>
      <c r="W171" s="270">
        <f>SUM(W78:W79)</f>
        <v>0.20427753598637866</v>
      </c>
      <c r="X171" s="270">
        <f>SUM(X78:X79)</f>
        <v>0.1953488372093023</v>
      </c>
      <c r="Y171" s="270"/>
      <c r="Z171" s="270">
        <f>SUM(Z78:Z79)</f>
        <v>0.13720467890332422</v>
      </c>
      <c r="AA171" s="270">
        <f>SUM(AA78:AA79)</f>
        <v>0.13452380952380949</v>
      </c>
      <c r="AB171" s="270"/>
      <c r="AC171" s="270">
        <f>SUM(AC78:AC79)</f>
        <v>0.26318693445155594</v>
      </c>
      <c r="AD171" s="270">
        <f>SUM(AD78:AD79)</f>
        <v>0.26394052044609662</v>
      </c>
      <c r="AE171" s="270"/>
      <c r="AF171" s="270">
        <f>SUM(AF78:AF79)</f>
        <v>0.20727954128698056</v>
      </c>
      <c r="AG171" s="270">
        <f>SUM(AG78:AG79)</f>
        <v>0.20774647887323938</v>
      </c>
      <c r="AH171" s="270"/>
      <c r="AI171" s="270">
        <f>SUM(AI78:AI79)</f>
        <v>0.14647756612371654</v>
      </c>
      <c r="AJ171" s="270">
        <f>SUM(AJ78:AJ79)</f>
        <v>0.15903197925669832</v>
      </c>
      <c r="AK171" s="270"/>
      <c r="AL171" s="270">
        <f>SUM(AL78:AL79)</f>
        <v>0.11825570440864164</v>
      </c>
      <c r="AM171" s="270">
        <f>SUM(AM78:AM79)</f>
        <v>0.13411764705882356</v>
      </c>
      <c r="AN171" s="270"/>
      <c r="AO171" s="270">
        <f>SUM(AO78:AO79)</f>
        <v>0.17813807293376538</v>
      </c>
      <c r="AP171" s="270">
        <f>SUM(AP78:AP79)</f>
        <v>0.18801089918256131</v>
      </c>
      <c r="AQ171" s="335"/>
      <c r="AR171" s="270">
        <f>SUM(AR78:AR79)</f>
        <v>0.12086904170855173</v>
      </c>
      <c r="AS171" s="270">
        <f>SUM(AS78:AS79)</f>
        <v>0.13324708926261319</v>
      </c>
      <c r="AT171" s="335"/>
      <c r="AU171" s="270">
        <f>SUM(AU78:AU79)</f>
        <v>0.16062829897025277</v>
      </c>
      <c r="AV171" s="270">
        <f>SUM(AV78:AV79)</f>
        <v>0.17095931317655844</v>
      </c>
      <c r="AW171" s="335"/>
      <c r="AX171" s="270">
        <f>SUM(AX78:AX79)</f>
        <v>0.11578111037517302</v>
      </c>
      <c r="AY171" s="270">
        <f>SUM(AY78:AY79)</f>
        <v>0.12602965403624378</v>
      </c>
      <c r="AZ171" s="335"/>
      <c r="BA171" s="270">
        <f>SUM(BA78:BA79)</f>
        <v>0.15915311438079427</v>
      </c>
      <c r="BB171" s="270">
        <f>SUM(BB78:BB79)</f>
        <v>0.15916101172115982</v>
      </c>
      <c r="BC171" s="335"/>
      <c r="BD171" s="270">
        <f>SUM(BD78:BD79)</f>
        <v>0.14007083432913459</v>
      </c>
      <c r="BE171" s="270">
        <f>SUM(BE78:BE79)</f>
        <v>0.14350282485875709</v>
      </c>
      <c r="BF171" s="335"/>
      <c r="BG171" s="313">
        <f t="shared" si="896"/>
        <v>0.17787636201419965</v>
      </c>
      <c r="BH171" s="313">
        <f t="shared" si="897"/>
        <v>0.1807386703118665</v>
      </c>
      <c r="BI171" s="313"/>
      <c r="BJ171" t="s">
        <v>212</v>
      </c>
    </row>
    <row r="172" spans="1:163" hidden="1" outlineLevel="1" x14ac:dyDescent="0.25">
      <c r="AL172" s="1005" t="s">
        <v>315</v>
      </c>
      <c r="AM172" s="1005"/>
      <c r="AN172" s="1005"/>
      <c r="AO172" s="991"/>
      <c r="AP172" s="991"/>
      <c r="AQ172" s="353"/>
      <c r="AR172" s="991"/>
      <c r="AS172" s="991"/>
      <c r="AT172" s="353"/>
      <c r="AU172" s="991"/>
      <c r="AV172" s="991"/>
      <c r="AW172" s="353"/>
      <c r="AX172" s="991" t="s">
        <v>201</v>
      </c>
      <c r="AY172" s="991"/>
      <c r="AZ172" s="353"/>
      <c r="BA172" s="991" t="s">
        <v>201</v>
      </c>
      <c r="BB172" s="991"/>
      <c r="BC172" s="353"/>
      <c r="BD172" s="991" t="s">
        <v>201</v>
      </c>
      <c r="BE172" s="991"/>
      <c r="BF172" s="353"/>
    </row>
    <row r="173" spans="1:163" hidden="1" outlineLevel="1" x14ac:dyDescent="0.25">
      <c r="A173" s="234" t="s">
        <v>24</v>
      </c>
      <c r="B173" s="273" t="str">
        <f>Tabelle3[[#Headers],[Ned (€)]]</f>
        <v>Ned (€)</v>
      </c>
      <c r="C173" s="274" t="str">
        <f>C$8</f>
        <v>Ned (Backer)</v>
      </c>
      <c r="D173" s="337" t="str">
        <f t="shared" ref="D173:BF173" si="898">D$8</f>
        <v>Ned (€/B)</v>
      </c>
      <c r="E173" s="276" t="str">
        <f t="shared" si="898"/>
        <v>Werkzeuge (€)</v>
      </c>
      <c r="F173" s="277" t="str">
        <f t="shared" si="898"/>
        <v>Werkzeuge (Backer)</v>
      </c>
      <c r="G173" s="373" t="str">
        <f t="shared" si="898"/>
        <v>Werkz (€/B)</v>
      </c>
      <c r="H173" s="280" t="str">
        <f t="shared" si="898"/>
        <v>DSK Fasar (€)</v>
      </c>
      <c r="I173" s="281" t="str">
        <f t="shared" si="898"/>
        <v>DSK Fasar (Backer)</v>
      </c>
      <c r="J173" s="282" t="str">
        <f t="shared" si="898"/>
        <v>DSK Fasar (€/B)</v>
      </c>
      <c r="K173" s="273" t="str">
        <f t="shared" si="898"/>
        <v>Mythen (€)</v>
      </c>
      <c r="L173" s="274" t="str">
        <f t="shared" si="898"/>
        <v>Mythen (Backer)</v>
      </c>
      <c r="M173" s="274" t="str">
        <f t="shared" si="898"/>
        <v>Mythen (€/B)</v>
      </c>
      <c r="N173" s="278" t="str">
        <f t="shared" si="898"/>
        <v>SOK (€)</v>
      </c>
      <c r="O173" s="279" t="str">
        <f t="shared" si="898"/>
        <v>SOK (Backer)</v>
      </c>
      <c r="P173" s="279" t="str">
        <f t="shared" si="898"/>
        <v>SOK (€/B)</v>
      </c>
      <c r="Q173" s="275" t="str">
        <f t="shared" si="898"/>
        <v>RE (€)</v>
      </c>
      <c r="R173" s="275" t="str">
        <f t="shared" si="898"/>
        <v>RE (Backer)</v>
      </c>
      <c r="S173" s="275" t="str">
        <f t="shared" si="898"/>
        <v>RE (€/B)</v>
      </c>
      <c r="T173" s="275" t="str">
        <f t="shared" si="898"/>
        <v>DGG (€)</v>
      </c>
      <c r="U173" s="275" t="str">
        <f t="shared" si="898"/>
        <v>DGG (Backer)</v>
      </c>
      <c r="V173" s="275" t="str">
        <f t="shared" si="898"/>
        <v>DGG (€/B)</v>
      </c>
      <c r="W173" s="280" t="str">
        <f t="shared" si="898"/>
        <v>DSK SV (€)</v>
      </c>
      <c r="X173" s="281" t="str">
        <f t="shared" si="898"/>
        <v>DSK SV (Backer)</v>
      </c>
      <c r="Y173" s="282" t="str">
        <f t="shared" si="898"/>
        <v>DSK SV (€/B)</v>
      </c>
      <c r="Z173" s="278" t="str">
        <f t="shared" si="898"/>
        <v>WW (€)</v>
      </c>
      <c r="AA173" s="279" t="str">
        <f t="shared" si="898"/>
        <v>WW (Backer)</v>
      </c>
      <c r="AB173" s="279" t="str">
        <f t="shared" si="898"/>
        <v>WW (€/B)</v>
      </c>
      <c r="AC173" s="280" t="str">
        <f t="shared" si="898"/>
        <v>DSK R (€)</v>
      </c>
      <c r="AD173" s="281" t="str">
        <f t="shared" si="898"/>
        <v>DSK R (Backer)</v>
      </c>
      <c r="AE173" s="282" t="str">
        <f t="shared" si="898"/>
        <v>DSK R (€/B)</v>
      </c>
      <c r="AF173" s="275" t="str">
        <f t="shared" si="898"/>
        <v>Ära (€)</v>
      </c>
      <c r="AG173" s="275" t="str">
        <f t="shared" si="898"/>
        <v>Ära (Backer)</v>
      </c>
      <c r="AH173" s="275" t="str">
        <f t="shared" si="898"/>
        <v>Ära (€/B)</v>
      </c>
      <c r="AI173" s="275" t="str">
        <f t="shared" si="898"/>
        <v>Mosaik (€)</v>
      </c>
      <c r="AJ173" s="275" t="str">
        <f t="shared" si="898"/>
        <v>Mosaik (Backer)</v>
      </c>
      <c r="AK173" s="275" t="str">
        <f t="shared" si="898"/>
        <v>Mosaik (€/B)</v>
      </c>
      <c r="AL173" s="280" t="str">
        <f t="shared" si="898"/>
        <v>DSK ES (€)</v>
      </c>
      <c r="AM173" s="281" t="str">
        <f t="shared" si="898"/>
        <v>DSK ES (Backer)</v>
      </c>
      <c r="AN173" s="282" t="str">
        <f t="shared" si="898"/>
        <v>DSK ES (€/B)</v>
      </c>
      <c r="AO173" s="278" t="str">
        <f t="shared" si="898"/>
        <v>ES (€)</v>
      </c>
      <c r="AP173" s="279" t="str">
        <f t="shared" si="898"/>
        <v>ES (Backer)</v>
      </c>
      <c r="AQ173" s="389" t="str">
        <f t="shared" si="898"/>
        <v>ES (€/B)</v>
      </c>
      <c r="AR173" s="278" t="str">
        <f t="shared" si="898"/>
        <v>WF (€)</v>
      </c>
      <c r="AS173" s="279" t="str">
        <f t="shared" si="898"/>
        <v>WF(Backer)</v>
      </c>
      <c r="AT173" s="389" t="str">
        <f t="shared" si="898"/>
        <v>WF (€/B)</v>
      </c>
      <c r="AU173" s="653" t="str">
        <f t="shared" si="898"/>
        <v>AKM (€)</v>
      </c>
      <c r="AV173" s="274" t="str">
        <f t="shared" si="898"/>
        <v>AKM(Backer)</v>
      </c>
      <c r="AW173" s="274" t="str">
        <f t="shared" si="898"/>
        <v>AKM (€/B)</v>
      </c>
      <c r="AX173" s="275" t="str">
        <f t="shared" si="898"/>
        <v>Lex (€)</v>
      </c>
      <c r="AY173" s="275" t="str">
        <f t="shared" si="898"/>
        <v>Lex(Backer)</v>
      </c>
      <c r="AZ173" s="654" t="str">
        <f t="shared" si="898"/>
        <v>Lex(€/B)</v>
      </c>
      <c r="BA173" s="275" t="str">
        <f t="shared" si="898"/>
        <v>KA (€)</v>
      </c>
      <c r="BB173" s="275" t="str">
        <f t="shared" si="898"/>
        <v>KA (Backer)</v>
      </c>
      <c r="BC173" s="654" t="str">
        <f t="shared" si="898"/>
        <v>KA (€/B)</v>
      </c>
      <c r="BD173" s="805" t="str">
        <f t="shared" si="898"/>
        <v>MAR (€)</v>
      </c>
      <c r="BE173" s="805" t="str">
        <f t="shared" si="898"/>
        <v>MAR (Backer)</v>
      </c>
      <c r="BF173" s="806" t="str">
        <f t="shared" si="898"/>
        <v>MAR (€/B)</v>
      </c>
      <c r="BG173" s="1006" t="s">
        <v>202</v>
      </c>
      <c r="BH173" s="1006"/>
      <c r="BI173" s="1006"/>
      <c r="BJ173" s="1006"/>
      <c r="CE173" s="167"/>
      <c r="CF173" s="166"/>
      <c r="CG173" s="166"/>
      <c r="CH173" s="166"/>
      <c r="CI173" s="166"/>
      <c r="CJ173" s="166"/>
      <c r="CK173" s="166"/>
      <c r="CL173" s="166"/>
      <c r="CM173" s="166"/>
      <c r="CN173" s="166"/>
      <c r="CO173" s="166"/>
      <c r="CP173" s="166"/>
      <c r="CQ173" s="166"/>
      <c r="CR173" s="166"/>
      <c r="CS173" s="166"/>
      <c r="CT173" s="166"/>
      <c r="CU173" s="166"/>
      <c r="CV173" s="166"/>
      <c r="CW173" s="166"/>
      <c r="CX173" s="166"/>
      <c r="CY173" s="166"/>
      <c r="CZ173" s="166"/>
      <c r="DA173" s="166"/>
      <c r="DB173" s="166"/>
      <c r="DC173" s="166"/>
      <c r="DD173" s="166"/>
      <c r="DE173" s="166"/>
      <c r="DF173" s="166"/>
      <c r="DG173" s="166"/>
      <c r="DH173" s="166"/>
      <c r="DI173" s="166"/>
      <c r="DJ173" s="166"/>
      <c r="DK173" s="166"/>
      <c r="DL173" s="166"/>
      <c r="DM173" s="166"/>
      <c r="DN173" s="166"/>
      <c r="DO173" s="166"/>
      <c r="DP173" s="166"/>
      <c r="DQ173" s="166"/>
      <c r="DR173" s="166"/>
      <c r="DS173" s="166"/>
      <c r="DT173" s="166"/>
      <c r="DU173" s="166"/>
      <c r="DV173" s="166"/>
      <c r="DW173" s="166"/>
      <c r="DX173" s="166"/>
      <c r="DY173" s="166"/>
      <c r="DZ173" s="166"/>
      <c r="EA173" s="166"/>
      <c r="EB173" s="166"/>
      <c r="EC173" s="166"/>
      <c r="ED173" s="166"/>
      <c r="EE173" s="166"/>
      <c r="EF173" s="166"/>
      <c r="EG173" s="166"/>
      <c r="EH173" s="166"/>
      <c r="EI173" s="166"/>
      <c r="EJ173" s="166"/>
      <c r="EK173" s="166"/>
      <c r="EL173" s="166"/>
      <c r="FB173" s="166"/>
      <c r="FC173" s="166"/>
      <c r="FD173" s="166"/>
      <c r="FE173" s="166"/>
      <c r="FF173" s="166"/>
      <c r="FG173" s="166"/>
    </row>
    <row r="174" spans="1:163" hidden="1" outlineLevel="1" x14ac:dyDescent="0.25">
      <c r="A174" s="333" t="s">
        <v>198</v>
      </c>
      <c r="B174" s="270">
        <f>SUM(B59:B60)</f>
        <v>0.2688908493062796</v>
      </c>
      <c r="C174" s="270">
        <f>SUM(C59:C60)</f>
        <v>0.23631123919308358</v>
      </c>
      <c r="D174" s="338"/>
      <c r="E174" s="270">
        <f>SUM(E59:E60)</f>
        <v>0.29010960685643317</v>
      </c>
      <c r="F174" s="270">
        <f>SUM(F59:F60)</f>
        <v>0.2724867724867725</v>
      </c>
      <c r="G174" s="338"/>
      <c r="H174" s="270">
        <f>SUM(H59:H60)</f>
        <v>0.34487525668181157</v>
      </c>
      <c r="I174" s="270">
        <f>SUM(I59:I60)</f>
        <v>0.35410334346504557</v>
      </c>
      <c r="J174" s="270"/>
      <c r="K174" s="270">
        <f>SUM(K59:K60)</f>
        <v>0.27260503828160593</v>
      </c>
      <c r="L174" s="270">
        <f>SUM(L59:L60)</f>
        <v>0.29175050301810868</v>
      </c>
      <c r="M174" s="270"/>
      <c r="N174" s="270">
        <f>SUM(N59:N60)</f>
        <v>0.47684637167105159</v>
      </c>
      <c r="O174" s="270">
        <f>SUM(O59:O60)</f>
        <v>0.47415865384615385</v>
      </c>
      <c r="P174" s="270"/>
      <c r="Q174" s="270">
        <f>SUM(Q59:Q60)</f>
        <v>0.24667419534092858</v>
      </c>
      <c r="R174" s="270">
        <f>SUM(R59:R60)</f>
        <v>0.24366706875753921</v>
      </c>
      <c r="S174" s="270"/>
      <c r="T174" s="270">
        <f>SUM(T59:T60)</f>
        <v>0.4329473274856328</v>
      </c>
      <c r="U174" s="270">
        <f>SUM(U59:U60)</f>
        <v>0.4276923076923077</v>
      </c>
      <c r="V174" s="270"/>
      <c r="W174" s="270">
        <f>SUM(W59:W60)</f>
        <v>0.28160155673121195</v>
      </c>
      <c r="X174" s="270">
        <f>SUM(X59:X60)</f>
        <v>0.26666666666666666</v>
      </c>
      <c r="Y174" s="270"/>
      <c r="Z174" s="270">
        <f>SUM(Z59:Z60)</f>
        <v>0.37416739870852406</v>
      </c>
      <c r="AA174" s="270">
        <f>SUM(AA59:AA60)</f>
        <v>0.36785714285714288</v>
      </c>
      <c r="AB174" s="270"/>
      <c r="AC174" s="270">
        <f>SUM(AC59:AC60)</f>
        <v>0.3154105054071949</v>
      </c>
      <c r="AD174" s="270">
        <f>SUM(AD59:AD60)</f>
        <v>0.33085501858736061</v>
      </c>
      <c r="AE174" s="270"/>
      <c r="AF174" s="270">
        <f>SUM(AF59:AF60)</f>
        <v>0.22318924319574351</v>
      </c>
      <c r="AG174" s="270">
        <f>SUM(AG59:AG60)</f>
        <v>0.22535211267605634</v>
      </c>
      <c r="AH174" s="270"/>
      <c r="AI174" s="270">
        <f>SUM(AI59:AI60)</f>
        <v>0.42490511261556035</v>
      </c>
      <c r="AJ174" s="270">
        <f>SUM(AJ59:AJ60)</f>
        <v>0.41745894554883317</v>
      </c>
      <c r="AK174" s="270"/>
      <c r="AL174" s="391"/>
      <c r="AM174" s="391"/>
      <c r="AN174" s="270"/>
      <c r="AO174" s="270">
        <f>SUM(AO59:AO60)</f>
        <v>0.36881641090983558</v>
      </c>
      <c r="AP174" s="270">
        <f>SUM(AP59:AP60)</f>
        <v>0.35149863760217986</v>
      </c>
      <c r="AQ174" s="335"/>
      <c r="AR174" s="270">
        <f>SUM(AR59:AR60)</f>
        <v>0.41677736628474421</v>
      </c>
      <c r="AS174" s="270">
        <f>SUM(AS59:AS60)</f>
        <v>0.39909443725743854</v>
      </c>
      <c r="AT174" s="335"/>
      <c r="AU174" s="270">
        <f>SUM(AU59:AU60)</f>
        <v>0.37752259085308687</v>
      </c>
      <c r="AV174" s="270">
        <f>SUM(AV59:AV60)</f>
        <v>0.3964165733482643</v>
      </c>
      <c r="AW174" s="335"/>
      <c r="AX174" s="270">
        <f>SUM(AX59:AX60)</f>
        <v>0.30141515115675882</v>
      </c>
      <c r="AY174" s="270">
        <f>SUM(AY59:AY60)</f>
        <v>0.29159802306425042</v>
      </c>
      <c r="AZ174" s="335"/>
      <c r="BA174" s="270">
        <f>SUM(BA59:BA60)</f>
        <v>0.43105647537681457</v>
      </c>
      <c r="BB174" s="270">
        <f>SUM(BB59:BB60)</f>
        <v>0.42134484885872919</v>
      </c>
      <c r="BC174" s="335"/>
      <c r="BD174" s="270">
        <f>SUM(BD59:BD60)</f>
        <v>0.46913393866796643</v>
      </c>
      <c r="BE174" s="270">
        <f>SUM(BE59:BE60)</f>
        <v>0.46723163841807908</v>
      </c>
      <c r="BF174" s="335"/>
      <c r="BG174" s="313">
        <f t="shared" ref="BG174:BG176" si="899">AVERAGE(B174,E174,H174,K174,N174,Q174,T174,W174,Z174,AC174,AI174,AO174,AR174,AU174,AX174,BA174)</f>
        <v>0.35153882585421714</v>
      </c>
      <c r="BH174" s="313">
        <f t="shared" ref="BH174:BH176" si="900">AVERAGE(C174,F174,I174,L174,O174,R174,U174,X174,AA174,AD174,AJ174,AP174,AS174,AV174,AY174,BB174)</f>
        <v>0.34643501139061733</v>
      </c>
      <c r="BI174" s="313"/>
      <c r="BJ174" s="334" t="s">
        <v>209</v>
      </c>
      <c r="BK174" s="334"/>
      <c r="BL174" s="334"/>
    </row>
    <row r="175" spans="1:163" hidden="1" outlineLevel="1" x14ac:dyDescent="0.25">
      <c r="A175" s="833" t="s">
        <v>208</v>
      </c>
      <c r="B175" s="269">
        <f>SUM(B61:B73)</f>
        <v>0.37913224797497791</v>
      </c>
      <c r="C175" s="269">
        <f>SUM(C61:C73)</f>
        <v>0.3804034582132565</v>
      </c>
      <c r="D175" s="339"/>
      <c r="E175" s="269">
        <f>SUM(E61:E73)</f>
        <v>0.28086537278633406</v>
      </c>
      <c r="F175" s="269">
        <f>SUM(F61:F73)</f>
        <v>0.28571428571428575</v>
      </c>
      <c r="G175" s="339"/>
      <c r="H175" s="269">
        <f>SUM(H61:H73)</f>
        <v>0.2777580157485407</v>
      </c>
      <c r="I175" s="269">
        <f>SUM(I61:I73)</f>
        <v>0.29483282674772038</v>
      </c>
      <c r="J175" s="269"/>
      <c r="K175" s="269">
        <f>SUM(K61:K73)</f>
        <v>0.38472736162505144</v>
      </c>
      <c r="L175" s="269">
        <f>SUM(L61:L73)</f>
        <v>0.38631790744466799</v>
      </c>
      <c r="M175" s="269"/>
      <c r="N175" s="269">
        <f>SUM(N61:N73)</f>
        <v>0.31065305320043335</v>
      </c>
      <c r="O175" s="269">
        <f>SUM(O61:O73)</f>
        <v>0.31490384615384615</v>
      </c>
      <c r="P175" s="269"/>
      <c r="Q175" s="269">
        <f>SUM(Q61:Q73)</f>
        <v>0.39095842071973103</v>
      </c>
      <c r="R175" s="269">
        <f>SUM(R61:R73)</f>
        <v>0.41737032569360677</v>
      </c>
      <c r="S175" s="269"/>
      <c r="T175" s="269">
        <f>SUM(T61:T73)</f>
        <v>0.28066802056777429</v>
      </c>
      <c r="U175" s="269">
        <f>SUM(U61:U73)</f>
        <v>0.28000000000000003</v>
      </c>
      <c r="V175" s="269"/>
      <c r="W175" s="269">
        <f>SUM(W61:W73)</f>
        <v>0.37159139280533043</v>
      </c>
      <c r="X175" s="269">
        <f>SUM(X61:X73)</f>
        <v>0.37674418604651166</v>
      </c>
      <c r="Y175" s="269"/>
      <c r="Z175" s="269">
        <f>SUM(Z61:Z73)</f>
        <v>0.37396088584770443</v>
      </c>
      <c r="AA175" s="269">
        <f>SUM(AA61:AA73)</f>
        <v>0.38035714285714284</v>
      </c>
      <c r="AB175" s="269"/>
      <c r="AC175" s="269">
        <f>SUM(AC61:AC73)</f>
        <v>0.30594791436768926</v>
      </c>
      <c r="AD175" s="269">
        <f>SUM(AD61:AD73)</f>
        <v>0.27881040892193304</v>
      </c>
      <c r="AE175" s="269"/>
      <c r="AF175" s="269">
        <f>SUM(AF61:AF73)</f>
        <v>0.41807406337398034</v>
      </c>
      <c r="AG175" s="269">
        <f>SUM(AG61:AG73)</f>
        <v>0.414612676056338</v>
      </c>
      <c r="AH175" s="269"/>
      <c r="AI175" s="269">
        <f>SUM(AI61:AI73)</f>
        <v>0.29328827917712702</v>
      </c>
      <c r="AJ175" s="269">
        <f>SUM(AJ61:AJ73)</f>
        <v>0.2955920484010372</v>
      </c>
      <c r="AK175" s="269"/>
      <c r="AL175" s="391"/>
      <c r="AM175" s="391"/>
      <c r="AN175" s="269"/>
      <c r="AO175" s="269">
        <f>SUM(AO61:AO73)</f>
        <v>0.32922908899427589</v>
      </c>
      <c r="AP175" s="269">
        <f>SUM(AP61:AP73)</f>
        <v>0.33855585831062668</v>
      </c>
      <c r="AQ175" s="350"/>
      <c r="AR175" s="269">
        <f>SUM(AR61:AR73)</f>
        <v>0.35692033428594655</v>
      </c>
      <c r="AS175" s="269">
        <f>SUM(AS61:AS73)</f>
        <v>0.35769728331177231</v>
      </c>
      <c r="AT175" s="350"/>
      <c r="AU175" s="269">
        <f>SUM(AU61:AU73)</f>
        <v>0.35775269114056957</v>
      </c>
      <c r="AV175" s="269">
        <f>SUM(AV61:AV73)</f>
        <v>0.34042553191489355</v>
      </c>
      <c r="AW175" s="350"/>
      <c r="AX175" s="269">
        <f>SUM(AX61:AX73)</f>
        <v>0.43279262664022961</v>
      </c>
      <c r="AY175" s="269">
        <f>SUM(AY61:AY73)</f>
        <v>0.43492586490939045</v>
      </c>
      <c r="AZ175" s="350"/>
      <c r="BA175" s="269">
        <f>SUM(BA61:BA73)</f>
        <v>0.31635022123260625</v>
      </c>
      <c r="BB175" s="269">
        <f>SUM(BB61:BB73)</f>
        <v>0.31091918568784699</v>
      </c>
      <c r="BC175" s="350"/>
      <c r="BD175" s="269">
        <f>SUM(BD61:BD73)</f>
        <v>0.31551023892719227</v>
      </c>
      <c r="BE175" s="269">
        <f>SUM(BE61:BE73)</f>
        <v>0.31016949152542378</v>
      </c>
      <c r="BF175" s="350"/>
      <c r="BG175" s="313">
        <f t="shared" si="899"/>
        <v>0.34016224544464513</v>
      </c>
      <c r="BH175" s="313">
        <f t="shared" si="900"/>
        <v>0.34209813502053354</v>
      </c>
      <c r="BI175" s="313"/>
      <c r="BJ175" s="334" t="s">
        <v>211</v>
      </c>
      <c r="BK175" s="334"/>
      <c r="BL175" s="334"/>
    </row>
    <row r="176" spans="1:163" hidden="1" outlineLevel="1" x14ac:dyDescent="0.25">
      <c r="A176" s="284" t="s">
        <v>207</v>
      </c>
      <c r="B176" s="270">
        <f>SUM(B74:B79)</f>
        <v>0.35197690271874249</v>
      </c>
      <c r="C176" s="270">
        <f>SUM(C74:C79)</f>
        <v>0.38328530259365989</v>
      </c>
      <c r="D176" s="338"/>
      <c r="E176" s="270">
        <f>SUM(E74:E79)</f>
        <v>0.42902502035723278</v>
      </c>
      <c r="F176" s="270">
        <f>SUM(F74:F79)</f>
        <v>0.44179894179894175</v>
      </c>
      <c r="G176" s="338"/>
      <c r="H176" s="270">
        <f>SUM(H74:H79)</f>
        <v>0.37736672756964773</v>
      </c>
      <c r="I176" s="270">
        <f>SUM(I74:I79)</f>
        <v>0.35106382978723405</v>
      </c>
      <c r="J176" s="270"/>
      <c r="K176" s="270">
        <f>SUM(K74:K79)</f>
        <v>0.34266760009334263</v>
      </c>
      <c r="L176" s="270">
        <f>SUM(L74:L79)</f>
        <v>0.32193158953722334</v>
      </c>
      <c r="M176" s="270"/>
      <c r="N176" s="270">
        <f>SUM(N74:N79)</f>
        <v>0.21250057512851506</v>
      </c>
      <c r="O176" s="270">
        <f>SUM(O74:O79)</f>
        <v>0.2109375</v>
      </c>
      <c r="P176" s="270"/>
      <c r="Q176" s="270">
        <f>SUM(Q74:Q79)</f>
        <v>0.36236738393934043</v>
      </c>
      <c r="R176" s="270">
        <f>SUM(R74:R79)</f>
        <v>0.33896260554885405</v>
      </c>
      <c r="S176" s="270"/>
      <c r="T176" s="270">
        <f>SUM(T74:T79)</f>
        <v>0.28638465194659291</v>
      </c>
      <c r="U176" s="270">
        <f>SUM(U74:U79)</f>
        <v>0.29230769230769227</v>
      </c>
      <c r="V176" s="270"/>
      <c r="W176" s="270">
        <f>SUM(W74:W79)</f>
        <v>0.34680705046345761</v>
      </c>
      <c r="X176" s="270">
        <f>SUM(X74:X79)</f>
        <v>0.35658914728682167</v>
      </c>
      <c r="Y176" s="270"/>
      <c r="Z176" s="270">
        <f>SUM(Z74:Z79)</f>
        <v>0.25187171544377152</v>
      </c>
      <c r="AA176" s="270">
        <f>SUM(AA74:AA79)</f>
        <v>0.25178571428571428</v>
      </c>
      <c r="AB176" s="270"/>
      <c r="AC176" s="270">
        <f>SUM(AC74:AC79)</f>
        <v>0.37864158022511585</v>
      </c>
      <c r="AD176" s="270">
        <f>SUM(AD74:AD79)</f>
        <v>0.39033457249070636</v>
      </c>
      <c r="AE176" s="270"/>
      <c r="AF176" s="270">
        <f>SUM(AF74:AF79)</f>
        <v>0.35873669343027614</v>
      </c>
      <c r="AG176" s="270">
        <f>SUM(AG74:AG79)</f>
        <v>0.36003521126760563</v>
      </c>
      <c r="AH176" s="270"/>
      <c r="AI176" s="270">
        <f>SUM(AI74:AI79)</f>
        <v>0.28180660820731263</v>
      </c>
      <c r="AJ176" s="270">
        <f>SUM(AJ74:AJ79)</f>
        <v>0.28694900605012963</v>
      </c>
      <c r="AK176" s="270"/>
      <c r="AL176" s="270">
        <f>SUM(AL74:AL79)</f>
        <v>0.26627492934357389</v>
      </c>
      <c r="AM176" s="270">
        <f>SUM(AM74:AM79)</f>
        <v>0.2752941176470588</v>
      </c>
      <c r="AN176" s="270"/>
      <c r="AO176" s="270">
        <f>SUM(AO74:AO79)</f>
        <v>0.30195450009588853</v>
      </c>
      <c r="AP176" s="270">
        <f>SUM(AP74:AP79)</f>
        <v>0.30994550408719346</v>
      </c>
      <c r="AQ176" s="335"/>
      <c r="AR176" s="270">
        <f>SUM(AR74:AR79)</f>
        <v>0.22630229942930924</v>
      </c>
      <c r="AS176" s="270">
        <f>SUM(AS74:AS79)</f>
        <v>0.24320827943078915</v>
      </c>
      <c r="AT176" s="335"/>
      <c r="AU176" s="270">
        <f>SUM(AU74:AU79)</f>
        <v>0.26472471800634356</v>
      </c>
      <c r="AV176" s="270">
        <f>SUM(AV74:AV79)</f>
        <v>0.26315789473684215</v>
      </c>
      <c r="AW176" s="335"/>
      <c r="AX176" s="270">
        <f>SUM(AX74:AX79)</f>
        <v>0.26579222220301157</v>
      </c>
      <c r="AY176" s="270">
        <f>SUM(AY74:AY79)</f>
        <v>0.27347611202635913</v>
      </c>
      <c r="AZ176" s="335"/>
      <c r="BA176" s="270">
        <f>SUM(BA74:BA79)</f>
        <v>0.25259330339057917</v>
      </c>
      <c r="BB176" s="270">
        <f>SUM(BB74:BB79)</f>
        <v>0.26773596545342382</v>
      </c>
      <c r="BC176" s="335"/>
      <c r="BD176" s="270">
        <f>SUM(BD74:BD79)</f>
        <v>0.2153558224048413</v>
      </c>
      <c r="BE176" s="270">
        <f>SUM(BE74:BE79)</f>
        <v>0.22259887005649714</v>
      </c>
      <c r="BF176" s="335"/>
      <c r="BG176" s="313">
        <f t="shared" si="899"/>
        <v>0.30829892870113773</v>
      </c>
      <c r="BH176" s="313">
        <f t="shared" si="900"/>
        <v>0.31146685358884907</v>
      </c>
      <c r="BI176" s="313"/>
      <c r="BJ176" s="334" t="s">
        <v>210</v>
      </c>
      <c r="BK176" s="334"/>
      <c r="BL176" s="334"/>
    </row>
    <row r="177" spans="1:163" hidden="1" outlineLevel="1" x14ac:dyDescent="0.25">
      <c r="AL177" s="1005" t="s">
        <v>315</v>
      </c>
      <c r="AM177" s="1005"/>
      <c r="AN177" s="1005"/>
      <c r="AO177" s="991"/>
      <c r="AP177" s="991"/>
      <c r="AQ177" s="353"/>
      <c r="AR177" s="991"/>
      <c r="AS177" s="991"/>
      <c r="AT177" s="353"/>
      <c r="AU177" s="991"/>
      <c r="AV177" s="991"/>
      <c r="AW177" s="353"/>
      <c r="AX177" s="991" t="s">
        <v>201</v>
      </c>
      <c r="AY177" s="991"/>
      <c r="AZ177" s="353"/>
      <c r="BA177" s="991" t="s">
        <v>201</v>
      </c>
      <c r="BB177" s="991"/>
      <c r="BC177" s="353"/>
      <c r="BD177" s="991" t="s">
        <v>201</v>
      </c>
      <c r="BE177" s="991"/>
      <c r="BF177" s="353"/>
    </row>
    <row r="178" spans="1:163" hidden="1" outlineLevel="1" x14ac:dyDescent="0.25">
      <c r="A178" s="234" t="s">
        <v>24</v>
      </c>
      <c r="B178" s="273" t="str">
        <f>Tabelle3[[#Headers],[Ned (€)]]</f>
        <v>Ned (€)</v>
      </c>
      <c r="C178" s="274" t="str">
        <f>C$8</f>
        <v>Ned (Backer)</v>
      </c>
      <c r="D178" s="337" t="str">
        <f t="shared" ref="D178:BF178" si="901">D$8</f>
        <v>Ned (€/B)</v>
      </c>
      <c r="E178" s="276" t="str">
        <f t="shared" si="901"/>
        <v>Werkzeuge (€)</v>
      </c>
      <c r="F178" s="277" t="str">
        <f t="shared" si="901"/>
        <v>Werkzeuge (Backer)</v>
      </c>
      <c r="G178" s="373" t="str">
        <f t="shared" si="901"/>
        <v>Werkz (€/B)</v>
      </c>
      <c r="H178" s="280" t="str">
        <f t="shared" si="901"/>
        <v>DSK Fasar (€)</v>
      </c>
      <c r="I178" s="281" t="str">
        <f t="shared" si="901"/>
        <v>DSK Fasar (Backer)</v>
      </c>
      <c r="J178" s="282" t="str">
        <f t="shared" si="901"/>
        <v>DSK Fasar (€/B)</v>
      </c>
      <c r="K178" s="273" t="str">
        <f t="shared" si="901"/>
        <v>Mythen (€)</v>
      </c>
      <c r="L178" s="274" t="str">
        <f t="shared" si="901"/>
        <v>Mythen (Backer)</v>
      </c>
      <c r="M178" s="274" t="str">
        <f t="shared" si="901"/>
        <v>Mythen (€/B)</v>
      </c>
      <c r="N178" s="278" t="str">
        <f t="shared" si="901"/>
        <v>SOK (€)</v>
      </c>
      <c r="O178" s="279" t="str">
        <f t="shared" si="901"/>
        <v>SOK (Backer)</v>
      </c>
      <c r="P178" s="279" t="str">
        <f t="shared" si="901"/>
        <v>SOK (€/B)</v>
      </c>
      <c r="Q178" s="275" t="str">
        <f t="shared" si="901"/>
        <v>RE (€)</v>
      </c>
      <c r="R178" s="275" t="str">
        <f t="shared" si="901"/>
        <v>RE (Backer)</v>
      </c>
      <c r="S178" s="275" t="str">
        <f t="shared" si="901"/>
        <v>RE (€/B)</v>
      </c>
      <c r="T178" s="275" t="str">
        <f t="shared" si="901"/>
        <v>DGG (€)</v>
      </c>
      <c r="U178" s="275" t="str">
        <f t="shared" si="901"/>
        <v>DGG (Backer)</v>
      </c>
      <c r="V178" s="275" t="str">
        <f t="shared" si="901"/>
        <v>DGG (€/B)</v>
      </c>
      <c r="W178" s="280" t="str">
        <f t="shared" si="901"/>
        <v>DSK SV (€)</v>
      </c>
      <c r="X178" s="281" t="str">
        <f t="shared" si="901"/>
        <v>DSK SV (Backer)</v>
      </c>
      <c r="Y178" s="282" t="str">
        <f t="shared" si="901"/>
        <v>DSK SV (€/B)</v>
      </c>
      <c r="Z178" s="278" t="str">
        <f t="shared" si="901"/>
        <v>WW (€)</v>
      </c>
      <c r="AA178" s="279" t="str">
        <f t="shared" si="901"/>
        <v>WW (Backer)</v>
      </c>
      <c r="AB178" s="279" t="str">
        <f t="shared" si="901"/>
        <v>WW (€/B)</v>
      </c>
      <c r="AC178" s="280" t="str">
        <f t="shared" si="901"/>
        <v>DSK R (€)</v>
      </c>
      <c r="AD178" s="281" t="str">
        <f t="shared" si="901"/>
        <v>DSK R (Backer)</v>
      </c>
      <c r="AE178" s="282" t="str">
        <f t="shared" si="901"/>
        <v>DSK R (€/B)</v>
      </c>
      <c r="AF178" s="275" t="str">
        <f t="shared" si="901"/>
        <v>Ära (€)</v>
      </c>
      <c r="AG178" s="275" t="str">
        <f t="shared" si="901"/>
        <v>Ära (Backer)</v>
      </c>
      <c r="AH178" s="275" t="str">
        <f t="shared" si="901"/>
        <v>Ära (€/B)</v>
      </c>
      <c r="AI178" s="275" t="str">
        <f t="shared" si="901"/>
        <v>Mosaik (€)</v>
      </c>
      <c r="AJ178" s="275" t="str">
        <f t="shared" si="901"/>
        <v>Mosaik (Backer)</v>
      </c>
      <c r="AK178" s="275" t="str">
        <f t="shared" si="901"/>
        <v>Mosaik (€/B)</v>
      </c>
      <c r="AL178" s="280" t="str">
        <f t="shared" si="901"/>
        <v>DSK ES (€)</v>
      </c>
      <c r="AM178" s="281" t="str">
        <f t="shared" si="901"/>
        <v>DSK ES (Backer)</v>
      </c>
      <c r="AN178" s="282" t="str">
        <f t="shared" si="901"/>
        <v>DSK ES (€/B)</v>
      </c>
      <c r="AO178" s="278" t="str">
        <f t="shared" si="901"/>
        <v>ES (€)</v>
      </c>
      <c r="AP178" s="279" t="str">
        <f t="shared" si="901"/>
        <v>ES (Backer)</v>
      </c>
      <c r="AQ178" s="389" t="str">
        <f t="shared" si="901"/>
        <v>ES (€/B)</v>
      </c>
      <c r="AR178" s="278" t="str">
        <f t="shared" si="901"/>
        <v>WF (€)</v>
      </c>
      <c r="AS178" s="279" t="str">
        <f t="shared" si="901"/>
        <v>WF(Backer)</v>
      </c>
      <c r="AT178" s="389" t="str">
        <f t="shared" si="901"/>
        <v>WF (€/B)</v>
      </c>
      <c r="AU178" s="653" t="str">
        <f t="shared" si="901"/>
        <v>AKM (€)</v>
      </c>
      <c r="AV178" s="274" t="str">
        <f t="shared" si="901"/>
        <v>AKM(Backer)</v>
      </c>
      <c r="AW178" s="274" t="str">
        <f t="shared" si="901"/>
        <v>AKM (€/B)</v>
      </c>
      <c r="AX178" s="275" t="str">
        <f t="shared" si="901"/>
        <v>Lex (€)</v>
      </c>
      <c r="AY178" s="275" t="str">
        <f t="shared" si="901"/>
        <v>Lex(Backer)</v>
      </c>
      <c r="AZ178" s="654" t="str">
        <f t="shared" si="901"/>
        <v>Lex(€/B)</v>
      </c>
      <c r="BA178" s="275" t="str">
        <f t="shared" si="901"/>
        <v>KA (€)</v>
      </c>
      <c r="BB178" s="275" t="str">
        <f t="shared" si="901"/>
        <v>KA (Backer)</v>
      </c>
      <c r="BC178" s="654" t="str">
        <f t="shared" si="901"/>
        <v>KA (€/B)</v>
      </c>
      <c r="BD178" s="805" t="str">
        <f t="shared" si="901"/>
        <v>MAR (€)</v>
      </c>
      <c r="BE178" s="805" t="str">
        <f t="shared" si="901"/>
        <v>MAR (Backer)</v>
      </c>
      <c r="BF178" s="806" t="str">
        <f t="shared" si="901"/>
        <v>MAR (€/B)</v>
      </c>
      <c r="BG178" s="1006" t="s">
        <v>202</v>
      </c>
      <c r="BH178" s="1006"/>
      <c r="BI178" s="1006"/>
      <c r="BJ178" s="1006"/>
      <c r="CE178" s="167"/>
      <c r="CF178" s="166"/>
      <c r="CG178" s="166"/>
      <c r="CH178" s="166"/>
      <c r="CI178" s="166"/>
      <c r="CJ178" s="166"/>
      <c r="CK178" s="166"/>
      <c r="CL178" s="166"/>
      <c r="CM178" s="166"/>
      <c r="CN178" s="166"/>
      <c r="CO178" s="166"/>
      <c r="CP178" s="166"/>
      <c r="CQ178" s="166"/>
      <c r="CR178" s="166"/>
      <c r="CS178" s="166"/>
      <c r="CT178" s="166"/>
      <c r="CU178" s="166"/>
      <c r="CV178" s="166"/>
      <c r="CW178" s="166"/>
      <c r="CX178" s="166"/>
      <c r="CY178" s="166"/>
      <c r="CZ178" s="166"/>
      <c r="DA178" s="166"/>
      <c r="DB178" s="166"/>
      <c r="DC178" s="166"/>
      <c r="DD178" s="166"/>
      <c r="DE178" s="166"/>
      <c r="DF178" s="166"/>
      <c r="DG178" s="166"/>
      <c r="DH178" s="166"/>
      <c r="DI178" s="166"/>
      <c r="DJ178" s="166"/>
      <c r="DK178" s="166"/>
      <c r="DL178" s="166"/>
      <c r="DM178" s="166"/>
      <c r="DN178" s="166"/>
      <c r="DO178" s="166"/>
      <c r="DP178" s="166"/>
      <c r="DQ178" s="166"/>
      <c r="DR178" s="166"/>
      <c r="DS178" s="166"/>
      <c r="DT178" s="166"/>
      <c r="DU178" s="166"/>
      <c r="DV178" s="166"/>
      <c r="DW178" s="166"/>
      <c r="DX178" s="166"/>
      <c r="DY178" s="166"/>
      <c r="DZ178" s="166"/>
      <c r="EA178" s="166"/>
      <c r="EB178" s="166"/>
      <c r="EC178" s="166"/>
      <c r="ED178" s="166"/>
      <c r="EE178" s="166"/>
      <c r="EF178" s="166"/>
      <c r="EG178" s="166"/>
      <c r="EH178" s="166"/>
      <c r="EI178" s="166"/>
      <c r="EJ178" s="166"/>
      <c r="EK178" s="166"/>
      <c r="EL178" s="166"/>
      <c r="FB178" s="166"/>
      <c r="FC178" s="166"/>
      <c r="FD178" s="166"/>
      <c r="FE178" s="166"/>
      <c r="FF178" s="166"/>
      <c r="FG178" s="166"/>
    </row>
    <row r="179" spans="1:163" hidden="1" outlineLevel="1" x14ac:dyDescent="0.25">
      <c r="A179" s="333" t="s">
        <v>195</v>
      </c>
      <c r="B179" s="270">
        <f>SUM(B59:B61)</f>
        <v>0.2834870478787393</v>
      </c>
      <c r="C179" s="270">
        <f>SUM(C59:C61)</f>
        <v>0.25936599423631124</v>
      </c>
      <c r="D179" s="338"/>
      <c r="E179" s="270">
        <f>SUM(E59:E61)</f>
        <v>0.31576264931078318</v>
      </c>
      <c r="F179" s="270">
        <f>SUM(F59:F61)</f>
        <v>0.29629629629629628</v>
      </c>
      <c r="G179" s="338"/>
      <c r="H179" s="270">
        <f>SUM(H59:H61)</f>
        <v>0.36600805212864002</v>
      </c>
      <c r="I179" s="270">
        <f>SUM(I59:I61)</f>
        <v>0.37689969604863222</v>
      </c>
      <c r="J179" s="270"/>
      <c r="K179" s="270">
        <f>SUM(K59:K61)</f>
        <v>0.30748630418597417</v>
      </c>
      <c r="L179" s="270">
        <f>SUM(L59:L61)</f>
        <v>0.32595573440643866</v>
      </c>
      <c r="M179" s="270"/>
      <c r="N179" s="270">
        <f>SUM(N59:N61)</f>
        <v>0.51246669483053575</v>
      </c>
      <c r="O179" s="270">
        <f>SUM(O59:O61)</f>
        <v>0.51201923076923073</v>
      </c>
      <c r="P179" s="270"/>
      <c r="Q179" s="270">
        <f>SUM(Q59:Q61)</f>
        <v>0.29486539293789871</v>
      </c>
      <c r="R179" s="270">
        <f>SUM(R59:R61)</f>
        <v>0.28950542822677927</v>
      </c>
      <c r="S179" s="270"/>
      <c r="T179" s="270">
        <f>SUM(T59:T61)</f>
        <v>0.47741433694853735</v>
      </c>
      <c r="U179" s="270">
        <f>SUM(U59:U61)</f>
        <v>0.46974358974358976</v>
      </c>
      <c r="V179" s="270"/>
      <c r="W179" s="270">
        <f>SUM(W59:W61)</f>
        <v>0.33176965242848333</v>
      </c>
      <c r="X179" s="270">
        <f>SUM(X59:X61)</f>
        <v>0.30852713178294572</v>
      </c>
      <c r="Y179" s="270"/>
      <c r="Z179" s="270">
        <f>SUM(Z59:Z61)</f>
        <v>0.44334612480157815</v>
      </c>
      <c r="AA179" s="270">
        <f>SUM(AA59:AA61)</f>
        <v>0.43511904761904763</v>
      </c>
      <c r="AB179" s="270"/>
      <c r="AC179" s="270">
        <f>SUM(AC59:AC61)</f>
        <v>0.3629993378945045</v>
      </c>
      <c r="AD179" s="270">
        <f>SUM(AD59:AD61)</f>
        <v>0.37546468401486988</v>
      </c>
      <c r="AE179" s="270"/>
      <c r="AF179" s="270">
        <f>SUM(AF59:AF61)</f>
        <v>0.26278092761787825</v>
      </c>
      <c r="AG179" s="270">
        <f>SUM(AG59:AG61)</f>
        <v>0.26496478873239437</v>
      </c>
      <c r="AH179" s="270"/>
      <c r="AI179" s="270">
        <f>SUM(AI59:AI61)</f>
        <v>0.46808333432484206</v>
      </c>
      <c r="AJ179" s="270">
        <f>SUM(AJ59:AJ61)</f>
        <v>0.46326707000864303</v>
      </c>
      <c r="AK179" s="270"/>
      <c r="AL179" s="391"/>
      <c r="AM179" s="391"/>
      <c r="AN179" s="270"/>
      <c r="AO179" s="270">
        <f>SUM(AO59:AO61)</f>
        <v>0.4103215027515123</v>
      </c>
      <c r="AP179" s="270">
        <f>SUM(AP59:AP61)</f>
        <v>0.39509536784741145</v>
      </c>
      <c r="AQ179" s="335"/>
      <c r="AR179" s="270">
        <f>SUM(AR59:AR61)</f>
        <v>0.46456506979689871</v>
      </c>
      <c r="AS179" s="270">
        <f>SUM(AS59:AS61)</f>
        <v>0.45019404915912031</v>
      </c>
      <c r="AT179" s="335"/>
      <c r="AU179" s="270">
        <f>SUM(AU59:AU61)</f>
        <v>0.40414322442805489</v>
      </c>
      <c r="AV179" s="270">
        <f>SUM(AV59:AV61)</f>
        <v>0.42329227323628221</v>
      </c>
      <c r="AW179" s="335"/>
      <c r="AX179" s="270">
        <f>SUM(AX59:AX61)</f>
        <v>0.40256466385902268</v>
      </c>
      <c r="AY179" s="270">
        <f>SUM(AY59:AY61)</f>
        <v>0.39621087314662273</v>
      </c>
      <c r="AZ179" s="335"/>
      <c r="BA179" s="270">
        <f>SUM(BA59:BA61)</f>
        <v>0.47736071385425616</v>
      </c>
      <c r="BB179" s="270">
        <f>SUM(BB59:BB61)</f>
        <v>0.46576187538556446</v>
      </c>
      <c r="BC179" s="335"/>
      <c r="BD179" s="270">
        <f>SUM(BD59:BD61)</f>
        <v>0.51163887707861211</v>
      </c>
      <c r="BE179" s="270">
        <f>SUM(BE59:BE61)</f>
        <v>0.5011299435028248</v>
      </c>
      <c r="BF179" s="335"/>
      <c r="BG179" s="313">
        <f t="shared" ref="BG179:BG181" si="902">AVERAGE(B179,E179,H179,K179,N179,Q179,T179,W179,Z179,AC179,AI179,AO179,AR179,AU179,AX179,BA179)</f>
        <v>0.39516525639751632</v>
      </c>
      <c r="BH179" s="313">
        <f t="shared" ref="BH179:BH181" si="903">AVERAGE(C179,F179,I179,L179,O179,R179,U179,X179,AA179,AD179,AJ179,AP179,AS179,AV179,AY179,BB179)</f>
        <v>0.3901698963704866</v>
      </c>
      <c r="BI179" s="313"/>
      <c r="BJ179" t="s">
        <v>214</v>
      </c>
    </row>
    <row r="180" spans="1:163" hidden="1" outlineLevel="1" x14ac:dyDescent="0.25">
      <c r="A180" s="833" t="s">
        <v>197</v>
      </c>
      <c r="B180" s="269">
        <f>SUM(B62:B76)</f>
        <v>0.46494506375812011</v>
      </c>
      <c r="C180" s="269">
        <f>SUM(C62:C76)</f>
        <v>0.4610951008645533</v>
      </c>
      <c r="D180" s="339"/>
      <c r="E180" s="269">
        <f>SUM(E62:E76)</f>
        <v>0.36039039021446856</v>
      </c>
      <c r="F180" s="269">
        <f>SUM(F62:F76)</f>
        <v>0.3664021164021164</v>
      </c>
      <c r="G180" s="339"/>
      <c r="H180" s="269">
        <f>SUM(H62:H76)</f>
        <v>0.37755267029928702</v>
      </c>
      <c r="I180" s="269">
        <f>SUM(I62:I76)</f>
        <v>0.40425531914893614</v>
      </c>
      <c r="J180" s="269"/>
      <c r="K180" s="269">
        <f>SUM(K62:K76)</f>
        <v>0.43424342434243418</v>
      </c>
      <c r="L180" s="269">
        <f>SUM(L62:L76)</f>
        <v>0.43259557344064381</v>
      </c>
      <c r="M180" s="269"/>
      <c r="N180" s="269">
        <f>SUM(N62:N76)</f>
        <v>0.33712987865834021</v>
      </c>
      <c r="O180" s="269">
        <f>SUM(O62:O76)</f>
        <v>0.3407451923076924</v>
      </c>
      <c r="P180" s="269"/>
      <c r="Q180" s="269">
        <f>SUM(Q62:Q76)</f>
        <v>0.42428176703618625</v>
      </c>
      <c r="R180" s="269">
        <f>SUM(R62:R76)</f>
        <v>0.44028950542822676</v>
      </c>
      <c r="S180" s="269"/>
      <c r="T180" s="269">
        <f>SUM(T62:T76)</f>
        <v>0.33288251307090694</v>
      </c>
      <c r="U180" s="269">
        <f>SUM(U62:U76)</f>
        <v>0.33128205128205124</v>
      </c>
      <c r="V180" s="269"/>
      <c r="W180" s="269">
        <f>SUM(W62:W76)</f>
        <v>0.42479997915092127</v>
      </c>
      <c r="X180" s="269">
        <f>SUM(X62:X76)</f>
        <v>0.45271317829457364</v>
      </c>
      <c r="Y180" s="269"/>
      <c r="Z180" s="269">
        <f>SUM(Z62:Z76)</f>
        <v>0.38067717724659794</v>
      </c>
      <c r="AA180" s="269">
        <f>SUM(AA62:AA76)</f>
        <v>0.38988095238095233</v>
      </c>
      <c r="AB180" s="269"/>
      <c r="AC180" s="269">
        <f>SUM(AC62:AC76)</f>
        <v>0.33394945928051206</v>
      </c>
      <c r="AD180" s="269">
        <f>SUM(AD62:AD76)</f>
        <v>0.31598513011152418</v>
      </c>
      <c r="AE180" s="269"/>
      <c r="AF180" s="269">
        <f>SUM(AF62:AF76)</f>
        <v>0.46041433438060503</v>
      </c>
      <c r="AG180" s="269">
        <f>SUM(AG62:AG76)</f>
        <v>0.45774647887323938</v>
      </c>
      <c r="AH180" s="269"/>
      <c r="AI180" s="269">
        <f>SUM(AI62:AI76)</f>
        <v>0.32124882506216756</v>
      </c>
      <c r="AJ180" s="269">
        <f>SUM(AJ62:AJ76)</f>
        <v>0.30769230769230765</v>
      </c>
      <c r="AK180" s="269"/>
      <c r="AL180" s="391"/>
      <c r="AM180" s="391"/>
      <c r="AN180" s="269"/>
      <c r="AO180" s="269">
        <f>SUM(AO62:AO76)</f>
        <v>0.36141836963552615</v>
      </c>
      <c r="AP180" s="269">
        <f>SUM(AP62:AP76)</f>
        <v>0.36307901907356949</v>
      </c>
      <c r="AQ180" s="350"/>
      <c r="AR180" s="269">
        <f>SUM(AR62:AR76)</f>
        <v>0.38533423039204506</v>
      </c>
      <c r="AS180" s="269">
        <f>SUM(AS62:AS76)</f>
        <v>0.38809831824062091</v>
      </c>
      <c r="AT180" s="350"/>
      <c r="AU180" s="269">
        <f>SUM(AU62:AU76)</f>
        <v>0.40579805672889141</v>
      </c>
      <c r="AV180" s="269">
        <f>SUM(AV62:AV76)</f>
        <v>0.37849944008958564</v>
      </c>
      <c r="AW180" s="350"/>
      <c r="AX180" s="269">
        <f>SUM(AX62:AX76)</f>
        <v>0.45387609217722147</v>
      </c>
      <c r="AY180" s="269">
        <f>SUM(AY62:AY76)</f>
        <v>0.44975288303130145</v>
      </c>
      <c r="AZ180" s="350"/>
      <c r="BA180" s="269">
        <f>SUM(BA62:BA76)</f>
        <v>0.34802528875110283</v>
      </c>
      <c r="BB180" s="269">
        <f>SUM(BB62:BB76)</f>
        <v>0.35657001850709436</v>
      </c>
      <c r="BC180" s="350"/>
      <c r="BD180" s="269">
        <f>SUM(BD62:BD76)</f>
        <v>0.32878926401222019</v>
      </c>
      <c r="BE180" s="269">
        <f>SUM(BE62:BE76)</f>
        <v>0.33559322033898309</v>
      </c>
      <c r="BF180" s="350"/>
      <c r="BG180" s="313">
        <f t="shared" si="902"/>
        <v>0.38415957411279555</v>
      </c>
      <c r="BH180" s="313">
        <f t="shared" si="903"/>
        <v>0.38618350664348439</v>
      </c>
      <c r="BI180" s="313"/>
      <c r="BJ180" t="s">
        <v>216</v>
      </c>
    </row>
    <row r="181" spans="1:163" hidden="1" outlineLevel="1" x14ac:dyDescent="0.25">
      <c r="A181" s="284" t="s">
        <v>196</v>
      </c>
      <c r="B181" s="270">
        <f>SUM(B77:B79)</f>
        <v>0.25156788836314059</v>
      </c>
      <c r="C181" s="270">
        <f>SUM(C77:C79)</f>
        <v>0.27953890489913547</v>
      </c>
      <c r="D181" s="338"/>
      <c r="E181" s="270">
        <f>SUM(E77:E79)</f>
        <v>0.32384696047474826</v>
      </c>
      <c r="F181" s="270">
        <f>SUM(F77:F79)</f>
        <v>0.33730158730158732</v>
      </c>
      <c r="G181" s="338"/>
      <c r="H181" s="270">
        <f>SUM(H77:H79)</f>
        <v>0.25643927757207297</v>
      </c>
      <c r="I181" s="270">
        <f>SUM(I77:I79)</f>
        <v>0.21884498480243164</v>
      </c>
      <c r="J181" s="270"/>
      <c r="K181" s="270">
        <f>SUM(K77:K79)</f>
        <v>0.25827027147159165</v>
      </c>
      <c r="L181" s="270">
        <f>SUM(L77:L79)</f>
        <v>0.24144869215291753</v>
      </c>
      <c r="M181" s="270"/>
      <c r="N181" s="270">
        <f>SUM(N77:N79)</f>
        <v>0.15040342651112404</v>
      </c>
      <c r="O181" s="270">
        <f>SUM(O77:O79)</f>
        <v>0.14723557692307687</v>
      </c>
      <c r="P181" s="270"/>
      <c r="Q181" s="270">
        <f>SUM(Q77:Q79)</f>
        <v>0.28085284002591504</v>
      </c>
      <c r="R181" s="270">
        <f>SUM(R77:R79)</f>
        <v>0.27020506634499397</v>
      </c>
      <c r="S181" s="270"/>
      <c r="T181" s="270">
        <f>SUM(T77:T79)</f>
        <v>0.18970314998055571</v>
      </c>
      <c r="U181" s="270">
        <f>SUM(U77:U79)</f>
        <v>0.198974358974359</v>
      </c>
      <c r="V181" s="270"/>
      <c r="W181" s="270">
        <f>SUM(W77:W79)</f>
        <v>0.2434303684205954</v>
      </c>
      <c r="X181" s="270">
        <f>SUM(X77:X79)</f>
        <v>0.23875968992248064</v>
      </c>
      <c r="Y181" s="270"/>
      <c r="Z181" s="270">
        <f>SUM(Z77:Z79)</f>
        <v>0.17597669795182391</v>
      </c>
      <c r="AA181" s="270">
        <f>SUM(AA77:AA79)</f>
        <v>0.17500000000000004</v>
      </c>
      <c r="AB181" s="270"/>
      <c r="AC181" s="270">
        <f>SUM(AC77:AC79)</f>
        <v>0.30305120282498343</v>
      </c>
      <c r="AD181" s="270">
        <f>SUM(AD77:AD79)</f>
        <v>0.30855018587360594</v>
      </c>
      <c r="AE181" s="270"/>
      <c r="AF181" s="270">
        <f>SUM(AF77:AF79)</f>
        <v>0.27680473800151673</v>
      </c>
      <c r="AG181" s="270">
        <f>SUM(AG77:AG79)</f>
        <v>0.27728873239436624</v>
      </c>
      <c r="AH181" s="270"/>
      <c r="AI181" s="270">
        <f>SUM(AI77:AI79)</f>
        <v>0.21066784061299038</v>
      </c>
      <c r="AJ181" s="270">
        <f>SUM(AJ77:AJ79)</f>
        <v>0.22904062229904931</v>
      </c>
      <c r="AK181" s="270"/>
      <c r="AL181" s="270">
        <f>SUM(AL77:AL79)</f>
        <v>0.16975106583422483</v>
      </c>
      <c r="AM181" s="270">
        <f>SUM(AM77:AM79)</f>
        <v>0.18352941176470583</v>
      </c>
      <c r="AN181" s="270"/>
      <c r="AO181" s="270">
        <f>SUM(AO77:AO79)</f>
        <v>0.22826012761296155</v>
      </c>
      <c r="AP181" s="270">
        <f>SUM(AP77:AP79)</f>
        <v>0.24182561307901906</v>
      </c>
      <c r="AQ181" s="335"/>
      <c r="AR181" s="270">
        <f>SUM(AR77:AR79)</f>
        <v>0.15010069981105623</v>
      </c>
      <c r="AS181" s="270">
        <f>SUM(AS77:AS79)</f>
        <v>0.16170763260025878</v>
      </c>
      <c r="AT181" s="335"/>
      <c r="AU181" s="270">
        <f>SUM(AU77:AU79)</f>
        <v>0.1900587188430537</v>
      </c>
      <c r="AV181" s="270">
        <f>SUM(AV77:AV79)</f>
        <v>0.19820828667413215</v>
      </c>
      <c r="AW181" s="335"/>
      <c r="AX181" s="270">
        <f>SUM(AX77:AX79)</f>
        <v>0.14355924396375586</v>
      </c>
      <c r="AY181" s="270">
        <f>SUM(AY77:AY79)</f>
        <v>0.15403624382207581</v>
      </c>
      <c r="AZ181" s="335"/>
      <c r="BA181" s="270">
        <f>SUM(BA77:BA79)</f>
        <v>0.17461399739464101</v>
      </c>
      <c r="BB181" s="270">
        <f>SUM(BB77:BB79)</f>
        <v>0.17766810610734118</v>
      </c>
      <c r="BC181" s="335"/>
      <c r="BD181" s="270">
        <f>SUM(BD77:BD79)</f>
        <v>0.1595718589091677</v>
      </c>
      <c r="BE181" s="270">
        <f>SUM(BE77:BE79)</f>
        <v>0.16327683615819211</v>
      </c>
      <c r="BF181" s="335"/>
      <c r="BG181" s="313">
        <f t="shared" si="902"/>
        <v>0.2206751694896881</v>
      </c>
      <c r="BH181" s="313">
        <f t="shared" si="903"/>
        <v>0.22364659698602901</v>
      </c>
      <c r="BI181" s="313"/>
      <c r="BJ181" t="s">
        <v>215</v>
      </c>
    </row>
    <row r="182" spans="1:163" hidden="1" outlineLevel="1" x14ac:dyDescent="0.25">
      <c r="AL182" s="1005" t="s">
        <v>315</v>
      </c>
      <c r="AM182" s="1005"/>
      <c r="AN182" s="1005"/>
      <c r="AO182" s="991"/>
      <c r="AP182" s="991"/>
      <c r="AQ182" s="353"/>
      <c r="AR182" s="991"/>
      <c r="AS182" s="991"/>
      <c r="AT182" s="353"/>
      <c r="AU182" s="991"/>
      <c r="AV182" s="991"/>
      <c r="AW182" s="353"/>
      <c r="AX182" s="991" t="s">
        <v>201</v>
      </c>
      <c r="AY182" s="991"/>
      <c r="AZ182" s="353"/>
      <c r="BA182" s="991" t="s">
        <v>201</v>
      </c>
      <c r="BB182" s="991"/>
      <c r="BC182" s="353"/>
      <c r="BD182" s="991" t="s">
        <v>201</v>
      </c>
      <c r="BE182" s="991"/>
      <c r="BF182" s="353"/>
    </row>
    <row r="183" spans="1:163" hidden="1" outlineLevel="1" x14ac:dyDescent="0.25">
      <c r="A183" s="234" t="s">
        <v>24</v>
      </c>
      <c r="B183" s="273" t="str">
        <f>Tabelle3[[#Headers],[Ned (€)]]</f>
        <v>Ned (€)</v>
      </c>
      <c r="C183" s="274" t="str">
        <f>C$8</f>
        <v>Ned (Backer)</v>
      </c>
      <c r="D183" s="337" t="str">
        <f t="shared" ref="D183:BF183" si="904">D$8</f>
        <v>Ned (€/B)</v>
      </c>
      <c r="E183" s="276" t="str">
        <f t="shared" si="904"/>
        <v>Werkzeuge (€)</v>
      </c>
      <c r="F183" s="277" t="str">
        <f t="shared" si="904"/>
        <v>Werkzeuge (Backer)</v>
      </c>
      <c r="G183" s="373" t="str">
        <f t="shared" si="904"/>
        <v>Werkz (€/B)</v>
      </c>
      <c r="H183" s="280" t="str">
        <f t="shared" si="904"/>
        <v>DSK Fasar (€)</v>
      </c>
      <c r="I183" s="281" t="str">
        <f t="shared" si="904"/>
        <v>DSK Fasar (Backer)</v>
      </c>
      <c r="J183" s="282" t="str">
        <f t="shared" si="904"/>
        <v>DSK Fasar (€/B)</v>
      </c>
      <c r="K183" s="273" t="str">
        <f t="shared" si="904"/>
        <v>Mythen (€)</v>
      </c>
      <c r="L183" s="274" t="str">
        <f t="shared" si="904"/>
        <v>Mythen (Backer)</v>
      </c>
      <c r="M183" s="274" t="str">
        <f t="shared" si="904"/>
        <v>Mythen (€/B)</v>
      </c>
      <c r="N183" s="278" t="str">
        <f t="shared" si="904"/>
        <v>SOK (€)</v>
      </c>
      <c r="O183" s="279" t="str">
        <f t="shared" si="904"/>
        <v>SOK (Backer)</v>
      </c>
      <c r="P183" s="279" t="str">
        <f t="shared" si="904"/>
        <v>SOK (€/B)</v>
      </c>
      <c r="Q183" s="275" t="str">
        <f t="shared" si="904"/>
        <v>RE (€)</v>
      </c>
      <c r="R183" s="275" t="str">
        <f t="shared" si="904"/>
        <v>RE (Backer)</v>
      </c>
      <c r="S183" s="275" t="str">
        <f t="shared" si="904"/>
        <v>RE (€/B)</v>
      </c>
      <c r="T183" s="275" t="str">
        <f t="shared" si="904"/>
        <v>DGG (€)</v>
      </c>
      <c r="U183" s="275" t="str">
        <f t="shared" si="904"/>
        <v>DGG (Backer)</v>
      </c>
      <c r="V183" s="275" t="str">
        <f t="shared" si="904"/>
        <v>DGG (€/B)</v>
      </c>
      <c r="W183" s="280" t="str">
        <f t="shared" si="904"/>
        <v>DSK SV (€)</v>
      </c>
      <c r="X183" s="281" t="str">
        <f t="shared" si="904"/>
        <v>DSK SV (Backer)</v>
      </c>
      <c r="Y183" s="282" t="str">
        <f t="shared" si="904"/>
        <v>DSK SV (€/B)</v>
      </c>
      <c r="Z183" s="278" t="str">
        <f t="shared" si="904"/>
        <v>WW (€)</v>
      </c>
      <c r="AA183" s="279" t="str">
        <f t="shared" si="904"/>
        <v>WW (Backer)</v>
      </c>
      <c r="AB183" s="279" t="str">
        <f t="shared" si="904"/>
        <v>WW (€/B)</v>
      </c>
      <c r="AC183" s="280" t="str">
        <f t="shared" si="904"/>
        <v>DSK R (€)</v>
      </c>
      <c r="AD183" s="281" t="str">
        <f t="shared" si="904"/>
        <v>DSK R (Backer)</v>
      </c>
      <c r="AE183" s="282" t="str">
        <f t="shared" si="904"/>
        <v>DSK R (€/B)</v>
      </c>
      <c r="AF183" s="275" t="str">
        <f t="shared" si="904"/>
        <v>Ära (€)</v>
      </c>
      <c r="AG183" s="275" t="str">
        <f t="shared" si="904"/>
        <v>Ära (Backer)</v>
      </c>
      <c r="AH183" s="275" t="str">
        <f t="shared" si="904"/>
        <v>Ära (€/B)</v>
      </c>
      <c r="AI183" s="275" t="str">
        <f t="shared" si="904"/>
        <v>Mosaik (€)</v>
      </c>
      <c r="AJ183" s="275" t="str">
        <f t="shared" si="904"/>
        <v>Mosaik (Backer)</v>
      </c>
      <c r="AK183" s="275" t="str">
        <f t="shared" si="904"/>
        <v>Mosaik (€/B)</v>
      </c>
      <c r="AL183" s="280" t="str">
        <f t="shared" si="904"/>
        <v>DSK ES (€)</v>
      </c>
      <c r="AM183" s="281" t="str">
        <f t="shared" si="904"/>
        <v>DSK ES (Backer)</v>
      </c>
      <c r="AN183" s="282" t="str">
        <f t="shared" si="904"/>
        <v>DSK ES (€/B)</v>
      </c>
      <c r="AO183" s="278" t="str">
        <f t="shared" si="904"/>
        <v>ES (€)</v>
      </c>
      <c r="AP183" s="279" t="str">
        <f t="shared" si="904"/>
        <v>ES (Backer)</v>
      </c>
      <c r="AQ183" s="389" t="str">
        <f t="shared" si="904"/>
        <v>ES (€/B)</v>
      </c>
      <c r="AR183" s="278" t="str">
        <f t="shared" si="904"/>
        <v>WF (€)</v>
      </c>
      <c r="AS183" s="279" t="str">
        <f t="shared" si="904"/>
        <v>WF(Backer)</v>
      </c>
      <c r="AT183" s="389" t="str">
        <f t="shared" si="904"/>
        <v>WF (€/B)</v>
      </c>
      <c r="AU183" s="653" t="str">
        <f t="shared" si="904"/>
        <v>AKM (€)</v>
      </c>
      <c r="AV183" s="274" t="str">
        <f t="shared" si="904"/>
        <v>AKM(Backer)</v>
      </c>
      <c r="AW183" s="274" t="str">
        <f t="shared" si="904"/>
        <v>AKM (€/B)</v>
      </c>
      <c r="AX183" s="275" t="str">
        <f t="shared" si="904"/>
        <v>Lex (€)</v>
      </c>
      <c r="AY183" s="275" t="str">
        <f t="shared" si="904"/>
        <v>Lex(Backer)</v>
      </c>
      <c r="AZ183" s="654" t="str">
        <f t="shared" si="904"/>
        <v>Lex(€/B)</v>
      </c>
      <c r="BA183" s="275" t="str">
        <f t="shared" si="904"/>
        <v>KA (€)</v>
      </c>
      <c r="BB183" s="275" t="str">
        <f t="shared" si="904"/>
        <v>KA (Backer)</v>
      </c>
      <c r="BC183" s="654" t="str">
        <f t="shared" si="904"/>
        <v>KA (€/B)</v>
      </c>
      <c r="BD183" s="805" t="str">
        <f t="shared" si="904"/>
        <v>MAR (€)</v>
      </c>
      <c r="BE183" s="805" t="str">
        <f t="shared" si="904"/>
        <v>MAR (Backer)</v>
      </c>
      <c r="BF183" s="806" t="str">
        <f t="shared" si="904"/>
        <v>MAR (€/B)</v>
      </c>
      <c r="BG183" s="1006" t="s">
        <v>202</v>
      </c>
      <c r="BH183" s="1006"/>
      <c r="BI183" s="1006"/>
      <c r="BJ183" s="1006"/>
      <c r="CE183" s="167"/>
      <c r="CF183" s="166"/>
      <c r="CG183" s="166"/>
      <c r="CH183" s="166"/>
      <c r="CI183" s="166"/>
      <c r="CJ183" s="166"/>
      <c r="CK183" s="166"/>
      <c r="CL183" s="166"/>
      <c r="CM183" s="166"/>
      <c r="CN183" s="166"/>
      <c r="CO183" s="166"/>
      <c r="CP183" s="166"/>
      <c r="CQ183" s="166"/>
      <c r="CR183" s="166"/>
      <c r="CS183" s="166"/>
      <c r="CT183" s="166"/>
      <c r="CU183" s="166"/>
      <c r="CV183" s="166"/>
      <c r="CW183" s="166"/>
      <c r="CX183" s="166"/>
      <c r="CY183" s="166"/>
      <c r="CZ183" s="166"/>
      <c r="DA183" s="166"/>
      <c r="DB183" s="166"/>
      <c r="DC183" s="166"/>
      <c r="DD183" s="166"/>
      <c r="DE183" s="166"/>
      <c r="DF183" s="166"/>
      <c r="DG183" s="166"/>
      <c r="DH183" s="166"/>
      <c r="DI183" s="166"/>
      <c r="DJ183" s="166"/>
      <c r="DK183" s="166"/>
      <c r="DL183" s="166"/>
      <c r="DM183" s="166"/>
      <c r="DN183" s="166"/>
      <c r="DO183" s="166"/>
      <c r="DP183" s="166"/>
      <c r="DQ183" s="166"/>
      <c r="DR183" s="166"/>
      <c r="DS183" s="166"/>
      <c r="DT183" s="166"/>
      <c r="DU183" s="166"/>
      <c r="DV183" s="166"/>
      <c r="DW183" s="166"/>
      <c r="DX183" s="166"/>
      <c r="DY183" s="166"/>
      <c r="DZ183" s="166"/>
      <c r="EA183" s="166"/>
      <c r="EB183" s="166"/>
      <c r="EC183" s="166"/>
      <c r="ED183" s="166"/>
      <c r="EE183" s="166"/>
      <c r="EF183" s="166"/>
      <c r="EG183" s="166"/>
      <c r="EH183" s="166"/>
      <c r="EI183" s="166"/>
      <c r="EJ183" s="166"/>
      <c r="EK183" s="166"/>
      <c r="EL183" s="166"/>
      <c r="FB183" s="166"/>
      <c r="FC183" s="166"/>
      <c r="FD183" s="166"/>
      <c r="FE183" s="166"/>
      <c r="FF183" s="166"/>
      <c r="FG183" s="166"/>
    </row>
    <row r="184" spans="1:163" hidden="1" outlineLevel="1" x14ac:dyDescent="0.25">
      <c r="A184" s="333" t="s">
        <v>195</v>
      </c>
      <c r="B184" s="270">
        <f>SUM(B59:B61)</f>
        <v>0.2834870478787393</v>
      </c>
      <c r="C184" s="270">
        <f>SUM(C59:C61)</f>
        <v>0.25936599423631124</v>
      </c>
      <c r="D184" s="338"/>
      <c r="E184" s="270">
        <f>SUM(E59:E61)</f>
        <v>0.31576264931078318</v>
      </c>
      <c r="F184" s="270">
        <f>SUM(F59:F61)</f>
        <v>0.29629629629629628</v>
      </c>
      <c r="G184" s="338"/>
      <c r="H184" s="270">
        <f>SUM(H59:H61)</f>
        <v>0.36600805212864002</v>
      </c>
      <c r="I184" s="270">
        <f>SUM(I59:I61)</f>
        <v>0.37689969604863222</v>
      </c>
      <c r="J184" s="270"/>
      <c r="K184" s="270">
        <f>SUM(K59:K61)</f>
        <v>0.30748630418597417</v>
      </c>
      <c r="L184" s="270">
        <f>SUM(L59:L61)</f>
        <v>0.32595573440643866</v>
      </c>
      <c r="M184" s="270"/>
      <c r="N184" s="270">
        <f>SUM(N59:N61)</f>
        <v>0.51246669483053575</v>
      </c>
      <c r="O184" s="270">
        <f>SUM(O59:O61)</f>
        <v>0.51201923076923073</v>
      </c>
      <c r="P184" s="270"/>
      <c r="Q184" s="270">
        <f>SUM(Q59:Q61)</f>
        <v>0.29486539293789871</v>
      </c>
      <c r="R184" s="270">
        <f>SUM(R59:R61)</f>
        <v>0.28950542822677927</v>
      </c>
      <c r="S184" s="270"/>
      <c r="T184" s="270">
        <f>SUM(T59:T61)</f>
        <v>0.47741433694853735</v>
      </c>
      <c r="U184" s="270">
        <f>SUM(U59:U61)</f>
        <v>0.46974358974358976</v>
      </c>
      <c r="V184" s="270"/>
      <c r="W184" s="270">
        <f>SUM(W59:W61)</f>
        <v>0.33176965242848333</v>
      </c>
      <c r="X184" s="270">
        <f>SUM(X59:X61)</f>
        <v>0.30852713178294572</v>
      </c>
      <c r="Y184" s="270"/>
      <c r="Z184" s="270">
        <f>SUM(Z59:Z61)</f>
        <v>0.44334612480157815</v>
      </c>
      <c r="AA184" s="270">
        <f>SUM(AA59:AA61)</f>
        <v>0.43511904761904763</v>
      </c>
      <c r="AB184" s="270"/>
      <c r="AC184" s="270">
        <f>SUM(AC59:AC61)</f>
        <v>0.3629993378945045</v>
      </c>
      <c r="AD184" s="270">
        <f>SUM(AD59:AD61)</f>
        <v>0.37546468401486988</v>
      </c>
      <c r="AE184" s="270"/>
      <c r="AF184" s="270">
        <f>SUM(AF59:AF61)</f>
        <v>0.26278092761787825</v>
      </c>
      <c r="AG184" s="270">
        <f>SUM(AG59:AG61)</f>
        <v>0.26496478873239437</v>
      </c>
      <c r="AH184" s="270"/>
      <c r="AI184" s="270">
        <f>SUM(AI59:AI61)</f>
        <v>0.46808333432484206</v>
      </c>
      <c r="AJ184" s="270">
        <f>SUM(AJ59:AJ61)</f>
        <v>0.46326707000864303</v>
      </c>
      <c r="AK184" s="270"/>
      <c r="AL184" s="391"/>
      <c r="AM184" s="391"/>
      <c r="AN184" s="270"/>
      <c r="AO184" s="270">
        <f>SUM(AO59:AO61)</f>
        <v>0.4103215027515123</v>
      </c>
      <c r="AP184" s="270">
        <f>SUM(AP59:AP61)</f>
        <v>0.39509536784741145</v>
      </c>
      <c r="AQ184" s="335"/>
      <c r="AR184" s="270">
        <f>SUM(AR59:AR61)</f>
        <v>0.46456506979689871</v>
      </c>
      <c r="AS184" s="270">
        <f>SUM(AS59:AS61)</f>
        <v>0.45019404915912031</v>
      </c>
      <c r="AT184" s="335"/>
      <c r="AU184" s="270">
        <f>SUM(AU59:AU61)</f>
        <v>0.40414322442805489</v>
      </c>
      <c r="AV184" s="270">
        <f>SUM(AV59:AV61)</f>
        <v>0.42329227323628221</v>
      </c>
      <c r="AW184" s="335"/>
      <c r="AX184" s="270">
        <f>SUM(AX59:AX61)</f>
        <v>0.40256466385902268</v>
      </c>
      <c r="AY184" s="270">
        <f>SUM(AY59:AY61)</f>
        <v>0.39621087314662273</v>
      </c>
      <c r="AZ184" s="335"/>
      <c r="BA184" s="270">
        <f>SUM(BA59:BA61)</f>
        <v>0.47736071385425616</v>
      </c>
      <c r="BB184" s="270">
        <f>SUM(BB59:BB61)</f>
        <v>0.46576187538556446</v>
      </c>
      <c r="BC184" s="335"/>
      <c r="BD184" s="270">
        <f>SUM(BD59:BD61)</f>
        <v>0.51163887707861211</v>
      </c>
      <c r="BE184" s="270">
        <f>SUM(BE59:BE61)</f>
        <v>0.5011299435028248</v>
      </c>
      <c r="BF184" s="335"/>
      <c r="BG184" s="313">
        <f t="shared" ref="BG184:BG186" si="905">AVERAGE(B184,E184,H184,K184,N184,Q184,T184,W184,Z184,AC184,AI184,AO184,AR184,AU184,AX184,BA184)</f>
        <v>0.39516525639751632</v>
      </c>
      <c r="BH184" s="313">
        <f t="shared" ref="BH184:BH186" si="906">AVERAGE(C184,F184,I184,L184,O184,R184,U184,X184,AA184,AD184,AJ184,AP184,AS184,AV184,AY184,BB184)</f>
        <v>0.3901698963704866</v>
      </c>
      <c r="BI184" s="313"/>
      <c r="BJ184" t="s">
        <v>214</v>
      </c>
    </row>
    <row r="185" spans="1:163" hidden="1" outlineLevel="1" x14ac:dyDescent="0.25">
      <c r="A185" s="833" t="s">
        <v>206</v>
      </c>
      <c r="B185" s="269">
        <f>SUM(B62:B73)</f>
        <v>0.36453604940251821</v>
      </c>
      <c r="C185" s="269">
        <f>SUM(C62:C73)</f>
        <v>0.35734870317002887</v>
      </c>
      <c r="D185" s="339"/>
      <c r="E185" s="269">
        <f>SUM(E62:E73)</f>
        <v>0.25521233033198404</v>
      </c>
      <c r="F185" s="269">
        <f>SUM(F62:F73)</f>
        <v>0.26190476190476197</v>
      </c>
      <c r="G185" s="339"/>
      <c r="H185" s="269">
        <f>SUM(H62:H73)</f>
        <v>0.25662522030171225</v>
      </c>
      <c r="I185" s="269">
        <f>SUM(I62:I73)</f>
        <v>0.27203647416413373</v>
      </c>
      <c r="J185" s="269"/>
      <c r="K185" s="269">
        <f>SUM(K62:K73)</f>
        <v>0.3498460957206832</v>
      </c>
      <c r="L185" s="269">
        <f>SUM(L62:L73)</f>
        <v>0.352112676056338</v>
      </c>
      <c r="M185" s="269"/>
      <c r="N185" s="269">
        <f>SUM(N62:N73)</f>
        <v>0.27503273004094919</v>
      </c>
      <c r="O185" s="269">
        <f>SUM(O62:O73)</f>
        <v>0.27704326923076927</v>
      </c>
      <c r="P185" s="269"/>
      <c r="Q185" s="269">
        <f>SUM(Q62:Q73)</f>
        <v>0.34276722312276087</v>
      </c>
      <c r="R185" s="269">
        <f>SUM(R62:R73)</f>
        <v>0.37153196622436668</v>
      </c>
      <c r="S185" s="269"/>
      <c r="T185" s="269">
        <f>SUM(T62:T73)</f>
        <v>0.23620101110486974</v>
      </c>
      <c r="U185" s="269">
        <f>SUM(U62:U73)</f>
        <v>0.23794871794871797</v>
      </c>
      <c r="V185" s="269"/>
      <c r="W185" s="269">
        <f>SUM(W62:W73)</f>
        <v>0.32142329710805906</v>
      </c>
      <c r="X185" s="269">
        <f>SUM(X62:X73)</f>
        <v>0.33488372093023261</v>
      </c>
      <c r="Y185" s="269"/>
      <c r="Z185" s="269">
        <f>SUM(Z62:Z73)</f>
        <v>0.30478215975465034</v>
      </c>
      <c r="AA185" s="269">
        <f>SUM(AA62:AA73)</f>
        <v>0.31309523809523809</v>
      </c>
      <c r="AB185" s="269"/>
      <c r="AC185" s="269">
        <f>SUM(AC62:AC73)</f>
        <v>0.25835908188037965</v>
      </c>
      <c r="AD185" s="269">
        <f>SUM(AD62:AD73)</f>
        <v>0.23420074349442377</v>
      </c>
      <c r="AE185" s="269"/>
      <c r="AF185" s="269">
        <f>SUM(AF62:AF73)</f>
        <v>0.37848237895184561</v>
      </c>
      <c r="AG185" s="269">
        <f>SUM(AG62:AG73)</f>
        <v>0.375</v>
      </c>
      <c r="AH185" s="269"/>
      <c r="AI185" s="269">
        <f>SUM(AI62:AI73)</f>
        <v>0.25011005746784531</v>
      </c>
      <c r="AJ185" s="269">
        <f>SUM(AJ62:AJ73)</f>
        <v>0.24978392394122734</v>
      </c>
      <c r="AK185" s="269"/>
      <c r="AL185" s="391"/>
      <c r="AM185" s="391"/>
      <c r="AN185" s="269"/>
      <c r="AO185" s="269">
        <f>SUM(AO62:AO73)</f>
        <v>0.28772399715259916</v>
      </c>
      <c r="AP185" s="269">
        <f>SUM(AP62:AP73)</f>
        <v>0.29495912806539509</v>
      </c>
      <c r="AQ185" s="350"/>
      <c r="AR185" s="269">
        <f>SUM(AR62:AR73)</f>
        <v>0.30913263077379205</v>
      </c>
      <c r="AS185" s="269">
        <f>SUM(AS62:AS73)</f>
        <v>0.30659767141009053</v>
      </c>
      <c r="AT185" s="350"/>
      <c r="AU185" s="269">
        <f>SUM(AU62:AU73)</f>
        <v>0.33113205756560155</v>
      </c>
      <c r="AV185" s="269">
        <f>SUM(AV62:AV73)</f>
        <v>0.31354983202687564</v>
      </c>
      <c r="AW185" s="350"/>
      <c r="AX185" s="269">
        <f>SUM(AX62:AX73)</f>
        <v>0.33164311393796575</v>
      </c>
      <c r="AY185" s="269">
        <f>SUM(AY62:AY73)</f>
        <v>0.33031301482701814</v>
      </c>
      <c r="AZ185" s="350"/>
      <c r="BA185" s="269">
        <f>SUM(BA62:BA73)</f>
        <v>0.27004598275516467</v>
      </c>
      <c r="BB185" s="269">
        <f>SUM(BB62:BB73)</f>
        <v>0.26650215916101172</v>
      </c>
      <c r="BC185" s="350"/>
      <c r="BD185" s="269">
        <f>SUM(BD62:BD73)</f>
        <v>0.27300530051654659</v>
      </c>
      <c r="BE185" s="269">
        <f>SUM(BE62:BE73)</f>
        <v>0.27627118644067805</v>
      </c>
      <c r="BF185" s="350"/>
      <c r="BG185" s="313">
        <f t="shared" si="905"/>
        <v>0.29653581490134595</v>
      </c>
      <c r="BH185" s="313">
        <f t="shared" si="906"/>
        <v>0.29836325004066433</v>
      </c>
      <c r="BI185" s="313"/>
      <c r="BJ185" t="s">
        <v>217</v>
      </c>
    </row>
    <row r="186" spans="1:163" hidden="1" outlineLevel="1" x14ac:dyDescent="0.25">
      <c r="A186" s="284" t="s">
        <v>207</v>
      </c>
      <c r="B186" s="270">
        <f>SUM(B74:B79)</f>
        <v>0.35197690271874249</v>
      </c>
      <c r="C186" s="270">
        <f>SUM(C74:C79)</f>
        <v>0.38328530259365989</v>
      </c>
      <c r="D186" s="338"/>
      <c r="E186" s="270">
        <f>SUM(E74:E79)</f>
        <v>0.42902502035723278</v>
      </c>
      <c r="F186" s="270">
        <f>SUM(F74:F79)</f>
        <v>0.44179894179894175</v>
      </c>
      <c r="G186" s="338"/>
      <c r="H186" s="270">
        <f>SUM(H74:H79)</f>
        <v>0.37736672756964773</v>
      </c>
      <c r="I186" s="270">
        <f>SUM(I74:I79)</f>
        <v>0.35106382978723405</v>
      </c>
      <c r="J186" s="270"/>
      <c r="K186" s="270">
        <f>SUM(K74:K79)</f>
        <v>0.34266760009334263</v>
      </c>
      <c r="L186" s="270">
        <f>SUM(L74:L79)</f>
        <v>0.32193158953722334</v>
      </c>
      <c r="M186" s="270"/>
      <c r="N186" s="270">
        <f>SUM(N74:N79)</f>
        <v>0.21250057512851506</v>
      </c>
      <c r="O186" s="270">
        <f>SUM(O74:O79)</f>
        <v>0.2109375</v>
      </c>
      <c r="P186" s="270"/>
      <c r="Q186" s="270">
        <f>SUM(Q74:Q79)</f>
        <v>0.36236738393934043</v>
      </c>
      <c r="R186" s="270">
        <f>SUM(R74:R79)</f>
        <v>0.33896260554885405</v>
      </c>
      <c r="S186" s="270"/>
      <c r="T186" s="270">
        <f>SUM(T74:T79)</f>
        <v>0.28638465194659291</v>
      </c>
      <c r="U186" s="270">
        <f>SUM(U74:U79)</f>
        <v>0.29230769230769227</v>
      </c>
      <c r="V186" s="270"/>
      <c r="W186" s="270">
        <f>SUM(W74:W79)</f>
        <v>0.34680705046345761</v>
      </c>
      <c r="X186" s="270">
        <f>SUM(X74:X79)</f>
        <v>0.35658914728682167</v>
      </c>
      <c r="Y186" s="270"/>
      <c r="Z186" s="270">
        <f>SUM(Z74:Z79)</f>
        <v>0.25187171544377152</v>
      </c>
      <c r="AA186" s="270">
        <f>SUM(AA74:AA79)</f>
        <v>0.25178571428571428</v>
      </c>
      <c r="AB186" s="270"/>
      <c r="AC186" s="270">
        <f>SUM(AC74:AC79)</f>
        <v>0.37864158022511585</v>
      </c>
      <c r="AD186" s="270">
        <f>SUM(AD74:AD79)</f>
        <v>0.39033457249070636</v>
      </c>
      <c r="AE186" s="270"/>
      <c r="AF186" s="270">
        <f>SUM(AF74:AF79)</f>
        <v>0.35873669343027614</v>
      </c>
      <c r="AG186" s="270">
        <f>SUM(AG74:AG79)</f>
        <v>0.36003521126760563</v>
      </c>
      <c r="AH186" s="270"/>
      <c r="AI186" s="270">
        <f>SUM(AI74:AI79)</f>
        <v>0.28180660820731263</v>
      </c>
      <c r="AJ186" s="270">
        <f>SUM(AJ74:AJ79)</f>
        <v>0.28694900605012963</v>
      </c>
      <c r="AK186" s="270"/>
      <c r="AL186" s="270">
        <f>SUM(AL74:AL79)</f>
        <v>0.26627492934357389</v>
      </c>
      <c r="AM186" s="270">
        <f>SUM(AM74:AM79)</f>
        <v>0.2752941176470588</v>
      </c>
      <c r="AN186" s="270"/>
      <c r="AO186" s="270">
        <f>SUM(AO74:AO79)</f>
        <v>0.30195450009588853</v>
      </c>
      <c r="AP186" s="270">
        <f>SUM(AP74:AP79)</f>
        <v>0.30994550408719346</v>
      </c>
      <c r="AQ186" s="335"/>
      <c r="AR186" s="270">
        <f>SUM(AR74:AR79)</f>
        <v>0.22630229942930924</v>
      </c>
      <c r="AS186" s="270">
        <f>SUM(AS74:AS79)</f>
        <v>0.24320827943078915</v>
      </c>
      <c r="AT186" s="335"/>
      <c r="AU186" s="270">
        <f>SUM(AU74:AU79)</f>
        <v>0.26472471800634356</v>
      </c>
      <c r="AV186" s="270">
        <f>SUM(AV74:AV79)</f>
        <v>0.26315789473684215</v>
      </c>
      <c r="AW186" s="335"/>
      <c r="AX186" s="270">
        <f>SUM(AX74:AX79)</f>
        <v>0.26579222220301157</v>
      </c>
      <c r="AY186" s="270">
        <f>SUM(AY74:AY79)</f>
        <v>0.27347611202635913</v>
      </c>
      <c r="AZ186" s="335"/>
      <c r="BA186" s="270">
        <f>SUM(BA74:BA79)</f>
        <v>0.25259330339057917</v>
      </c>
      <c r="BB186" s="270">
        <f>SUM(BB74:BB79)</f>
        <v>0.26773596545342382</v>
      </c>
      <c r="BC186" s="335"/>
      <c r="BD186" s="270">
        <f>SUM(BD74:BD79)</f>
        <v>0.2153558224048413</v>
      </c>
      <c r="BE186" s="270">
        <f>SUM(BE74:BE79)</f>
        <v>0.22259887005649714</v>
      </c>
      <c r="BF186" s="335"/>
      <c r="BG186" s="313">
        <f t="shared" si="905"/>
        <v>0.30829892870113773</v>
      </c>
      <c r="BH186" s="313">
        <f t="shared" si="906"/>
        <v>0.31146685358884907</v>
      </c>
      <c r="BI186" s="313"/>
      <c r="BJ186" t="s">
        <v>210</v>
      </c>
    </row>
    <row r="187" spans="1:163" hidden="1" outlineLevel="1" x14ac:dyDescent="0.25">
      <c r="AL187" s="1005" t="s">
        <v>315</v>
      </c>
      <c r="AM187" s="1005"/>
      <c r="AN187" s="1005"/>
      <c r="AO187" s="991"/>
      <c r="AP187" s="991"/>
      <c r="AQ187" s="353"/>
      <c r="AR187" s="991"/>
      <c r="AS187" s="991"/>
      <c r="AT187" s="353"/>
      <c r="AU187" s="991"/>
      <c r="AV187" s="991"/>
      <c r="AW187" s="353"/>
      <c r="AX187" s="991" t="s">
        <v>201</v>
      </c>
      <c r="AY187" s="991"/>
      <c r="AZ187" s="353"/>
      <c r="BA187" s="991" t="s">
        <v>201</v>
      </c>
      <c r="BB187" s="991"/>
      <c r="BC187" s="353"/>
      <c r="BD187" s="991" t="s">
        <v>201</v>
      </c>
      <c r="BE187" s="991"/>
      <c r="BF187" s="353"/>
    </row>
    <row r="188" spans="1:163" hidden="1" outlineLevel="1" x14ac:dyDescent="0.25">
      <c r="A188" s="283" t="s">
        <v>24</v>
      </c>
      <c r="B188" s="273" t="str">
        <f>Tabelle3[[#Headers],[Ned (€)]]</f>
        <v>Ned (€)</v>
      </c>
      <c r="C188" s="274" t="str">
        <f>C$8</f>
        <v>Ned (Backer)</v>
      </c>
      <c r="D188" s="337" t="str">
        <f t="shared" ref="D188:BF188" si="907">D$8</f>
        <v>Ned (€/B)</v>
      </c>
      <c r="E188" s="276" t="str">
        <f t="shared" si="907"/>
        <v>Werkzeuge (€)</v>
      </c>
      <c r="F188" s="277" t="str">
        <f t="shared" si="907"/>
        <v>Werkzeuge (Backer)</v>
      </c>
      <c r="G188" s="373" t="str">
        <f t="shared" si="907"/>
        <v>Werkz (€/B)</v>
      </c>
      <c r="H188" s="280" t="str">
        <f t="shared" si="907"/>
        <v>DSK Fasar (€)</v>
      </c>
      <c r="I188" s="281" t="str">
        <f t="shared" si="907"/>
        <v>DSK Fasar (Backer)</v>
      </c>
      <c r="J188" s="282" t="str">
        <f t="shared" si="907"/>
        <v>DSK Fasar (€/B)</v>
      </c>
      <c r="K188" s="273" t="str">
        <f t="shared" si="907"/>
        <v>Mythen (€)</v>
      </c>
      <c r="L188" s="274" t="str">
        <f t="shared" si="907"/>
        <v>Mythen (Backer)</v>
      </c>
      <c r="M188" s="274" t="str">
        <f t="shared" si="907"/>
        <v>Mythen (€/B)</v>
      </c>
      <c r="N188" s="278" t="str">
        <f t="shared" si="907"/>
        <v>SOK (€)</v>
      </c>
      <c r="O188" s="279" t="str">
        <f t="shared" si="907"/>
        <v>SOK (Backer)</v>
      </c>
      <c r="P188" s="279" t="str">
        <f t="shared" si="907"/>
        <v>SOK (€/B)</v>
      </c>
      <c r="Q188" s="275" t="str">
        <f t="shared" si="907"/>
        <v>RE (€)</v>
      </c>
      <c r="R188" s="275" t="str">
        <f t="shared" si="907"/>
        <v>RE (Backer)</v>
      </c>
      <c r="S188" s="275" t="str">
        <f t="shared" si="907"/>
        <v>RE (€/B)</v>
      </c>
      <c r="T188" s="275" t="str">
        <f t="shared" si="907"/>
        <v>DGG (€)</v>
      </c>
      <c r="U188" s="275" t="str">
        <f t="shared" si="907"/>
        <v>DGG (Backer)</v>
      </c>
      <c r="V188" s="275" t="str">
        <f t="shared" si="907"/>
        <v>DGG (€/B)</v>
      </c>
      <c r="W188" s="280" t="str">
        <f t="shared" si="907"/>
        <v>DSK SV (€)</v>
      </c>
      <c r="X188" s="281" t="str">
        <f t="shared" si="907"/>
        <v>DSK SV (Backer)</v>
      </c>
      <c r="Y188" s="282" t="str">
        <f t="shared" si="907"/>
        <v>DSK SV (€/B)</v>
      </c>
      <c r="Z188" s="278" t="str">
        <f t="shared" si="907"/>
        <v>WW (€)</v>
      </c>
      <c r="AA188" s="279" t="str">
        <f t="shared" si="907"/>
        <v>WW (Backer)</v>
      </c>
      <c r="AB188" s="279" t="str">
        <f t="shared" si="907"/>
        <v>WW (€/B)</v>
      </c>
      <c r="AC188" s="280" t="str">
        <f t="shared" si="907"/>
        <v>DSK R (€)</v>
      </c>
      <c r="AD188" s="281" t="str">
        <f t="shared" si="907"/>
        <v>DSK R (Backer)</v>
      </c>
      <c r="AE188" s="282" t="str">
        <f t="shared" si="907"/>
        <v>DSK R (€/B)</v>
      </c>
      <c r="AF188" s="275" t="str">
        <f t="shared" si="907"/>
        <v>Ära (€)</v>
      </c>
      <c r="AG188" s="275" t="str">
        <f t="shared" si="907"/>
        <v>Ära (Backer)</v>
      </c>
      <c r="AH188" s="275" t="str">
        <f t="shared" si="907"/>
        <v>Ära (€/B)</v>
      </c>
      <c r="AI188" s="275" t="str">
        <f t="shared" si="907"/>
        <v>Mosaik (€)</v>
      </c>
      <c r="AJ188" s="275" t="str">
        <f t="shared" si="907"/>
        <v>Mosaik (Backer)</v>
      </c>
      <c r="AK188" s="275" t="str">
        <f t="shared" si="907"/>
        <v>Mosaik (€/B)</v>
      </c>
      <c r="AL188" s="280" t="str">
        <f t="shared" si="907"/>
        <v>DSK ES (€)</v>
      </c>
      <c r="AM188" s="281" t="str">
        <f t="shared" si="907"/>
        <v>DSK ES (Backer)</v>
      </c>
      <c r="AN188" s="282" t="str">
        <f t="shared" si="907"/>
        <v>DSK ES (€/B)</v>
      </c>
      <c r="AO188" s="278" t="str">
        <f t="shared" si="907"/>
        <v>ES (€)</v>
      </c>
      <c r="AP188" s="279" t="str">
        <f t="shared" si="907"/>
        <v>ES (Backer)</v>
      </c>
      <c r="AQ188" s="389" t="str">
        <f t="shared" si="907"/>
        <v>ES (€/B)</v>
      </c>
      <c r="AR188" s="278" t="str">
        <f t="shared" si="907"/>
        <v>WF (€)</v>
      </c>
      <c r="AS188" s="279" t="str">
        <f t="shared" si="907"/>
        <v>WF(Backer)</v>
      </c>
      <c r="AT188" s="389" t="str">
        <f t="shared" si="907"/>
        <v>WF (€/B)</v>
      </c>
      <c r="AU188" s="653" t="str">
        <f t="shared" si="907"/>
        <v>AKM (€)</v>
      </c>
      <c r="AV188" s="274" t="str">
        <f t="shared" si="907"/>
        <v>AKM(Backer)</v>
      </c>
      <c r="AW188" s="274" t="str">
        <f t="shared" si="907"/>
        <v>AKM (€/B)</v>
      </c>
      <c r="AX188" s="275" t="str">
        <f t="shared" si="907"/>
        <v>Lex (€)</v>
      </c>
      <c r="AY188" s="275" t="str">
        <f t="shared" si="907"/>
        <v>Lex(Backer)</v>
      </c>
      <c r="AZ188" s="654" t="str">
        <f t="shared" si="907"/>
        <v>Lex(€/B)</v>
      </c>
      <c r="BA188" s="275" t="str">
        <f t="shared" si="907"/>
        <v>KA (€)</v>
      </c>
      <c r="BB188" s="275" t="str">
        <f t="shared" si="907"/>
        <v>KA (Backer)</v>
      </c>
      <c r="BC188" s="654" t="str">
        <f t="shared" si="907"/>
        <v>KA (€/B)</v>
      </c>
      <c r="BD188" s="805" t="str">
        <f t="shared" si="907"/>
        <v>MAR (€)</v>
      </c>
      <c r="BE188" s="805" t="str">
        <f t="shared" si="907"/>
        <v>MAR (Backer)</v>
      </c>
      <c r="BF188" s="806" t="str">
        <f t="shared" si="907"/>
        <v>MAR (€/B)</v>
      </c>
      <c r="BG188" s="1006" t="s">
        <v>202</v>
      </c>
      <c r="BH188" s="1006"/>
      <c r="BI188" s="1006"/>
      <c r="BJ188" s="1006"/>
    </row>
    <row r="189" spans="1:163" hidden="1" outlineLevel="1" x14ac:dyDescent="0.25">
      <c r="A189" s="333" t="s">
        <v>203</v>
      </c>
      <c r="B189" s="270">
        <f>SUM(B59:B62)</f>
        <v>0.30284706071056222</v>
      </c>
      <c r="C189" s="270">
        <f>SUM(C59:C62)</f>
        <v>0.2737752161383285</v>
      </c>
      <c r="D189" s="338"/>
      <c r="E189" s="270">
        <f>SUM(E59:E62)</f>
        <v>0.35127503646727321</v>
      </c>
      <c r="F189" s="270">
        <f>SUM(F59:F62)</f>
        <v>0.32671957671957674</v>
      </c>
      <c r="G189" s="338"/>
      <c r="H189" s="270">
        <f>SUM(H59:H62)</f>
        <v>0.38770676023089234</v>
      </c>
      <c r="I189" s="270">
        <f>SUM(I59:I62)</f>
        <v>0.40121580547112462</v>
      </c>
      <c r="J189" s="270"/>
      <c r="K189" s="270">
        <f>SUM(K59:K62)</f>
        <v>0.33696703003633699</v>
      </c>
      <c r="L189" s="270">
        <f>SUM(L59:L62)</f>
        <v>0.35814889336016098</v>
      </c>
      <c r="M189" s="270"/>
      <c r="N189" s="270">
        <f>SUM(N59:N62)</f>
        <v>0.53373599300643726</v>
      </c>
      <c r="O189" s="270">
        <f>SUM(O59:O62)</f>
        <v>0.53545673076923073</v>
      </c>
      <c r="P189" s="270"/>
      <c r="Q189" s="270">
        <f>SUM(Q59:Q62)</f>
        <v>0.31711083284038444</v>
      </c>
      <c r="R189" s="270">
        <f>SUM(R59:R62)</f>
        <v>0.31363088057901084</v>
      </c>
      <c r="S189" s="270"/>
      <c r="T189" s="270">
        <f>SUM(T59:T62)</f>
        <v>0.50695674718057293</v>
      </c>
      <c r="U189" s="270">
        <f>SUM(U59:U62)</f>
        <v>0.49846153846153846</v>
      </c>
      <c r="V189" s="270"/>
      <c r="W189" s="270">
        <f>SUM(W59:W62)</f>
        <v>0.36135796999470088</v>
      </c>
      <c r="X189" s="270">
        <f>SUM(X59:X62)</f>
        <v>0.33798449612403103</v>
      </c>
      <c r="Y189" s="270"/>
      <c r="Z189" s="270">
        <f>SUM(Z59:Z62)</f>
        <v>0.48342194892659546</v>
      </c>
      <c r="AA189" s="270">
        <f>SUM(AA59:AA62)</f>
        <v>0.47440476190476188</v>
      </c>
      <c r="AB189" s="270"/>
      <c r="AC189" s="270">
        <f>SUM(AC59:AC62)</f>
        <v>0.39271132200397263</v>
      </c>
      <c r="AD189" s="270">
        <f>SUM(AD59:AD62)</f>
        <v>0.40892193308550184</v>
      </c>
      <c r="AE189" s="270"/>
      <c r="AF189" s="270">
        <f>SUM(AF59:AF62)</f>
        <v>0.28021138035222032</v>
      </c>
      <c r="AG189" s="270">
        <f>SUM(AG59:AG62)</f>
        <v>0.28433098591549294</v>
      </c>
      <c r="AH189" s="270"/>
      <c r="AI189" s="270">
        <f>SUM(AI59:AI62)</f>
        <v>0.51466441395885631</v>
      </c>
      <c r="AJ189" s="270">
        <f>SUM(AJ59:AJ62)</f>
        <v>0.5056179775280899</v>
      </c>
      <c r="AK189" s="270"/>
      <c r="AL189" s="391"/>
      <c r="AM189" s="391"/>
      <c r="AN189" s="270"/>
      <c r="AO189" s="270">
        <f>SUM(AO59:AO62)</f>
        <v>0.43615613897656097</v>
      </c>
      <c r="AP189" s="270">
        <f>SUM(AP59:AP62)</f>
        <v>0.42370572207084467</v>
      </c>
      <c r="AQ189" s="335"/>
      <c r="AR189" s="270">
        <f>SUM(AR59:AR62)</f>
        <v>0.50473672145508308</v>
      </c>
      <c r="AS189" s="270">
        <f>SUM(AS59:AS62)</f>
        <v>0.4909443725743855</v>
      </c>
      <c r="AT189" s="335"/>
      <c r="AU189" s="270">
        <f>SUM(AU59:AU62)</f>
        <v>0.49488087654914648</v>
      </c>
      <c r="AV189" s="270">
        <f>SUM(AV59:AV62)</f>
        <v>0.51810377006345654</v>
      </c>
      <c r="AW189" s="335"/>
      <c r="AX189" s="270">
        <f>SUM(AX59:AX62)</f>
        <v>0.44082852591451149</v>
      </c>
      <c r="AY189" s="270">
        <f>SUM(AY59:AY62)</f>
        <v>0.43574958813838549</v>
      </c>
      <c r="AZ189" s="335"/>
      <c r="BA189" s="270">
        <f>SUM(BA59:BA62)</f>
        <v>0.51498938348965884</v>
      </c>
      <c r="BB189" s="270">
        <f>SUM(BB59:BB62)</f>
        <v>0.5015422578655151</v>
      </c>
      <c r="BC189" s="335"/>
      <c r="BD189" s="270">
        <f>SUM(BD59:BD62)</f>
        <v>0.54238713039695152</v>
      </c>
      <c r="BE189" s="270">
        <f>SUM(BE59:BE62)</f>
        <v>0.5299435028248588</v>
      </c>
      <c r="BF189" s="335"/>
      <c r="BG189" s="313">
        <f t="shared" ref="BG189:BG191" si="908">AVERAGE(B189,E189,H189,K189,N189,Q189,T189,W189,Z189,AC189,AI189,AO189,AR189,AU189,AX189,BA189)</f>
        <v>0.43002167260884655</v>
      </c>
      <c r="BH189" s="313">
        <f t="shared" ref="BH189:BH191" si="909">AVERAGE(C189,F189,I189,L189,O189,R189,U189,X189,AA189,AD189,AJ189,AP189,AS189,AV189,AY189,BB189)</f>
        <v>0.42527397005337142</v>
      </c>
      <c r="BI189" s="313"/>
      <c r="BJ189" t="s">
        <v>218</v>
      </c>
    </row>
    <row r="190" spans="1:163" hidden="1" outlineLevel="1" x14ac:dyDescent="0.25">
      <c r="A190" s="833" t="s">
        <v>204</v>
      </c>
      <c r="B190" s="269">
        <f>SUM(B63:B74)</f>
        <v>0.3752666613200738</v>
      </c>
      <c r="C190" s="269">
        <f>SUM(C63:C74)</f>
        <v>0.37175792507204614</v>
      </c>
      <c r="D190" s="339"/>
      <c r="E190" s="269">
        <f>SUM(E63:E74)</f>
        <v>0.25476710739831632</v>
      </c>
      <c r="F190" s="269">
        <f>SUM(F63:F74)</f>
        <v>0.26190476190476186</v>
      </c>
      <c r="G190" s="339"/>
      <c r="H190" s="269">
        <f>SUM(H63:H74)</f>
        <v>0.25944669911232565</v>
      </c>
      <c r="I190" s="269">
        <f>SUM(I63:I74)</f>
        <v>0.27355623100303955</v>
      </c>
      <c r="J190" s="269"/>
      <c r="K190" s="269">
        <f>SUM(K63:K74)</f>
        <v>0.35023502350235025</v>
      </c>
      <c r="L190" s="269">
        <f>SUM(L63:L74)</f>
        <v>0.34406438631790748</v>
      </c>
      <c r="M190" s="269"/>
      <c r="N190" s="269">
        <f>SUM(N63:N74)</f>
        <v>0.27463955127427564</v>
      </c>
      <c r="O190" s="269">
        <f>SUM(O63:O74)</f>
        <v>0.27584134615384615</v>
      </c>
      <c r="P190" s="269"/>
      <c r="Q190" s="269">
        <f>SUM(Q63:Q74)</f>
        <v>0.34271344687803296</v>
      </c>
      <c r="R190" s="269">
        <f>SUM(R63:R74)</f>
        <v>0.3703256936067551</v>
      </c>
      <c r="S190" s="269"/>
      <c r="T190" s="269">
        <f>SUM(T63:T74)</f>
        <v>0.24524046147863288</v>
      </c>
      <c r="U190" s="269">
        <f>SUM(U63:U74)</f>
        <v>0.2492307692307692</v>
      </c>
      <c r="V190" s="269"/>
      <c r="W190" s="269">
        <f>SUM(W63:W74)</f>
        <v>0.322040082353861</v>
      </c>
      <c r="X190" s="269">
        <f>SUM(X63:X74)</f>
        <v>0.3410852713178294</v>
      </c>
      <c r="Y190" s="269"/>
      <c r="Z190" s="269">
        <f>SUM(Z63:Z74)</f>
        <v>0.29078860172299542</v>
      </c>
      <c r="AA190" s="269">
        <f>SUM(AA63:AA74)</f>
        <v>0.30000000000000004</v>
      </c>
      <c r="AB190" s="269"/>
      <c r="AC190" s="269">
        <f>SUM(AC63:AC74)</f>
        <v>0.25568307216949904</v>
      </c>
      <c r="AD190" s="269">
        <f>SUM(AD63:AD74)</f>
        <v>0.23048327137546465</v>
      </c>
      <c r="AE190" s="269"/>
      <c r="AF190" s="269">
        <f>SUM(AF63:AF74)</f>
        <v>0.39023910697017489</v>
      </c>
      <c r="AG190" s="269">
        <f>SUM(AG63:AG74)</f>
        <v>0.38292253521126768</v>
      </c>
      <c r="AH190" s="269"/>
      <c r="AI190" s="269">
        <f>SUM(AI63:AI74)</f>
        <v>0.2154032862564994</v>
      </c>
      <c r="AJ190" s="269">
        <f>SUM(AJ63:AJ74)</f>
        <v>0.21694036300777875</v>
      </c>
      <c r="AK190" s="269"/>
      <c r="AL190" s="391"/>
      <c r="AM190" s="391"/>
      <c r="AN190" s="269"/>
      <c r="AO190" s="269">
        <f>SUM(AO63:AO74)</f>
        <v>0.28849435558054798</v>
      </c>
      <c r="AP190" s="269">
        <f>SUM(AP63:AP74)</f>
        <v>0.29087193460490468</v>
      </c>
      <c r="AQ190" s="350"/>
      <c r="AR190" s="269">
        <f>SUM(AR63:AR74)</f>
        <v>0.29304718096083526</v>
      </c>
      <c r="AS190" s="269">
        <f>SUM(AS63:AS74)</f>
        <v>0.29560155239327301</v>
      </c>
      <c r="AT190" s="350"/>
      <c r="AU190" s="269">
        <f>SUM(AU63:AU74)</f>
        <v>0.26779298823189934</v>
      </c>
      <c r="AV190" s="269">
        <f>SUM(AV63:AV74)</f>
        <v>0.24300111982082861</v>
      </c>
      <c r="AW190" s="350"/>
      <c r="AX190" s="269">
        <f>SUM(AX63:AX74)</f>
        <v>0.34377737928244079</v>
      </c>
      <c r="AY190" s="269">
        <f>SUM(AY63:AY74)</f>
        <v>0.33937397034596373</v>
      </c>
      <c r="AZ190" s="350"/>
      <c r="BA190" s="269">
        <f>SUM(BA63:BA74)</f>
        <v>0.26120239127577183</v>
      </c>
      <c r="BB190" s="269">
        <f>SUM(BB63:BB74)</f>
        <v>0.26465144972239363</v>
      </c>
      <c r="BC190" s="350"/>
      <c r="BD190" s="269">
        <f>SUM(BD63:BD74)</f>
        <v>0.26004581610325828</v>
      </c>
      <c r="BE190" s="269">
        <f>SUM(BE63:BE74)</f>
        <v>0.26666666666666661</v>
      </c>
      <c r="BF190" s="350"/>
      <c r="BG190" s="313">
        <f t="shared" si="908"/>
        <v>0.29003364304989732</v>
      </c>
      <c r="BH190" s="313">
        <f t="shared" si="909"/>
        <v>0.29179312786734757</v>
      </c>
      <c r="BI190" s="313"/>
      <c r="BJ190" t="s">
        <v>211</v>
      </c>
    </row>
    <row r="191" spans="1:163" hidden="1" outlineLevel="1" x14ac:dyDescent="0.25">
      <c r="A191" s="284" t="s">
        <v>205</v>
      </c>
      <c r="B191" s="270">
        <f>SUM(B75:B79)</f>
        <v>0.32188627796936398</v>
      </c>
      <c r="C191" s="270">
        <f>SUM(C75:C79)</f>
        <v>0.35446685878962536</v>
      </c>
      <c r="D191" s="338"/>
      <c r="E191" s="270">
        <f>SUM(E75:E79)</f>
        <v>0.39395785613441048</v>
      </c>
      <c r="F191" s="270">
        <f>SUM(F75:F79)</f>
        <v>0.41137566137566139</v>
      </c>
      <c r="G191" s="338"/>
      <c r="H191" s="270">
        <f>SUM(H75:H79)</f>
        <v>0.352846540656782</v>
      </c>
      <c r="I191" s="270">
        <f>SUM(I75:I79)</f>
        <v>0.32522796352583583</v>
      </c>
      <c r="J191" s="270"/>
      <c r="K191" s="270">
        <f>SUM(K75:K79)</f>
        <v>0.31279794646131276</v>
      </c>
      <c r="L191" s="270">
        <f>SUM(L75:L79)</f>
        <v>0.29778672032193154</v>
      </c>
      <c r="M191" s="270"/>
      <c r="N191" s="270">
        <f>SUM(N75:N79)</f>
        <v>0.1916244557192871</v>
      </c>
      <c r="O191" s="270">
        <f>SUM(O75:O79)</f>
        <v>0.18870192307692313</v>
      </c>
      <c r="P191" s="270"/>
      <c r="Q191" s="270">
        <f>SUM(Q75:Q79)</f>
        <v>0.34017572028158261</v>
      </c>
      <c r="R191" s="270">
        <f>SUM(R75:R79)</f>
        <v>0.31604342581423406</v>
      </c>
      <c r="S191" s="270"/>
      <c r="T191" s="270">
        <f>SUM(T75:T79)</f>
        <v>0.24780279134079419</v>
      </c>
      <c r="U191" s="270">
        <f>SUM(U75:U79)</f>
        <v>0.25230769230769234</v>
      </c>
      <c r="V191" s="270"/>
      <c r="W191" s="270">
        <f>SUM(W75:W79)</f>
        <v>0.31660194765143812</v>
      </c>
      <c r="X191" s="270">
        <f>SUM(X75:X79)</f>
        <v>0.32093023255813957</v>
      </c>
      <c r="Y191" s="270"/>
      <c r="Z191" s="270">
        <f>SUM(Z75:Z79)</f>
        <v>0.22578944935040912</v>
      </c>
      <c r="AA191" s="270">
        <f>SUM(AA75:AA79)</f>
        <v>0.22559523809523807</v>
      </c>
      <c r="AB191" s="270"/>
      <c r="AC191" s="270">
        <f>SUM(AC75:AC79)</f>
        <v>0.35160560582652833</v>
      </c>
      <c r="AD191" s="270">
        <f>SUM(AD75:AD79)</f>
        <v>0.36059479553903351</v>
      </c>
      <c r="AE191" s="270"/>
      <c r="AF191" s="270">
        <f>SUM(AF75:AF79)</f>
        <v>0.32954951267760479</v>
      </c>
      <c r="AG191" s="270">
        <f>SUM(AG75:AG79)</f>
        <v>0.33274647887323938</v>
      </c>
      <c r="AH191" s="270"/>
      <c r="AI191" s="270">
        <f>SUM(AI75:AI79)</f>
        <v>0.26993229978464428</v>
      </c>
      <c r="AJ191" s="270">
        <f>SUM(AJ75:AJ79)</f>
        <v>0.27744165946413135</v>
      </c>
      <c r="AK191" s="270"/>
      <c r="AL191" s="270">
        <f>SUM(AL75:AL79)</f>
        <v>0.2338927299726955</v>
      </c>
      <c r="AM191" s="270">
        <f>SUM(AM75:AM79)</f>
        <v>0.24941176470588233</v>
      </c>
      <c r="AN191" s="270"/>
      <c r="AO191" s="270">
        <f>SUM(AO75:AO79)</f>
        <v>0.27534950544289105</v>
      </c>
      <c r="AP191" s="270">
        <f>SUM(AP75:AP79)</f>
        <v>0.28542234332425065</v>
      </c>
      <c r="AQ191" s="335"/>
      <c r="AR191" s="270">
        <f>SUM(AR75:AR79)</f>
        <v>0.20221609758408166</v>
      </c>
      <c r="AS191" s="270">
        <f>SUM(AS75:AS79)</f>
        <v>0.21345407503234148</v>
      </c>
      <c r="AT191" s="335"/>
      <c r="AU191" s="270">
        <f>SUM(AU75:AU79)</f>
        <v>0.23732613521895418</v>
      </c>
      <c r="AV191" s="270">
        <f>SUM(AV75:AV79)</f>
        <v>0.23889511011571485</v>
      </c>
      <c r="AW191" s="335"/>
      <c r="AX191" s="270">
        <f>SUM(AX75:AX79)</f>
        <v>0.21539409480304772</v>
      </c>
      <c r="AY191" s="270">
        <f>SUM(AY75:AY79)</f>
        <v>0.22487644151565078</v>
      </c>
      <c r="AZ191" s="335"/>
      <c r="BA191" s="270">
        <f>SUM(BA75:BA79)</f>
        <v>0.22380822523456934</v>
      </c>
      <c r="BB191" s="270">
        <f>SUM(BB75:BB79)</f>
        <v>0.23380629241209128</v>
      </c>
      <c r="BC191" s="335"/>
      <c r="BD191" s="270">
        <f>SUM(BD75:BD79)</f>
        <v>0.1975670534997902</v>
      </c>
      <c r="BE191" s="270">
        <f>SUM(BE75:BE79)</f>
        <v>0.20338983050847459</v>
      </c>
      <c r="BF191" s="335"/>
      <c r="BG191" s="313">
        <f t="shared" si="908"/>
        <v>0.27994468434125608</v>
      </c>
      <c r="BH191" s="313">
        <f t="shared" si="909"/>
        <v>0.28293290207928101</v>
      </c>
      <c r="BI191" s="313"/>
      <c r="BJ191" t="s">
        <v>219</v>
      </c>
    </row>
    <row r="192" spans="1:163" hidden="1" outlineLevel="1" x14ac:dyDescent="0.25">
      <c r="AL192" s="1005" t="s">
        <v>315</v>
      </c>
      <c r="AM192" s="1005"/>
      <c r="AN192" s="1005"/>
      <c r="AO192" s="991"/>
      <c r="AP192" s="991"/>
      <c r="AQ192" s="353"/>
      <c r="AR192" s="991"/>
      <c r="AS192" s="991"/>
      <c r="AT192" s="353"/>
      <c r="AU192" s="991"/>
      <c r="AV192" s="991"/>
      <c r="AW192" s="353"/>
      <c r="AX192" s="991" t="s">
        <v>201</v>
      </c>
      <c r="AY192" s="991"/>
      <c r="AZ192" s="353"/>
      <c r="BA192" s="991" t="s">
        <v>201</v>
      </c>
      <c r="BB192" s="991"/>
      <c r="BC192" s="353"/>
      <c r="BD192" s="991" t="s">
        <v>201</v>
      </c>
      <c r="BE192" s="991"/>
      <c r="BF192" s="353"/>
    </row>
    <row r="193" spans="1:163" hidden="1" outlineLevel="1" x14ac:dyDescent="0.25">
      <c r="A193" s="234" t="s">
        <v>24</v>
      </c>
      <c r="B193" s="273" t="str">
        <f>Tabelle3[[#Headers],[Ned (€)]]</f>
        <v>Ned (€)</v>
      </c>
      <c r="C193" s="274" t="str">
        <f>C$8</f>
        <v>Ned (Backer)</v>
      </c>
      <c r="D193" s="337" t="str">
        <f t="shared" ref="D193:BF193" si="910">D$8</f>
        <v>Ned (€/B)</v>
      </c>
      <c r="E193" s="276" t="str">
        <f t="shared" si="910"/>
        <v>Werkzeuge (€)</v>
      </c>
      <c r="F193" s="277" t="str">
        <f t="shared" si="910"/>
        <v>Werkzeuge (Backer)</v>
      </c>
      <c r="G193" s="373" t="str">
        <f t="shared" si="910"/>
        <v>Werkz (€/B)</v>
      </c>
      <c r="H193" s="280" t="str">
        <f t="shared" si="910"/>
        <v>DSK Fasar (€)</v>
      </c>
      <c r="I193" s="281" t="str">
        <f t="shared" si="910"/>
        <v>DSK Fasar (Backer)</v>
      </c>
      <c r="J193" s="282" t="str">
        <f t="shared" si="910"/>
        <v>DSK Fasar (€/B)</v>
      </c>
      <c r="K193" s="273" t="str">
        <f t="shared" si="910"/>
        <v>Mythen (€)</v>
      </c>
      <c r="L193" s="274" t="str">
        <f t="shared" si="910"/>
        <v>Mythen (Backer)</v>
      </c>
      <c r="M193" s="274" t="str">
        <f t="shared" si="910"/>
        <v>Mythen (€/B)</v>
      </c>
      <c r="N193" s="278" t="str">
        <f t="shared" si="910"/>
        <v>SOK (€)</v>
      </c>
      <c r="O193" s="279" t="str">
        <f t="shared" si="910"/>
        <v>SOK (Backer)</v>
      </c>
      <c r="P193" s="279" t="str">
        <f t="shared" si="910"/>
        <v>SOK (€/B)</v>
      </c>
      <c r="Q193" s="275" t="str">
        <f t="shared" si="910"/>
        <v>RE (€)</v>
      </c>
      <c r="R193" s="275" t="str">
        <f t="shared" si="910"/>
        <v>RE (Backer)</v>
      </c>
      <c r="S193" s="275" t="str">
        <f t="shared" si="910"/>
        <v>RE (€/B)</v>
      </c>
      <c r="T193" s="275" t="str">
        <f t="shared" si="910"/>
        <v>DGG (€)</v>
      </c>
      <c r="U193" s="275" t="str">
        <f t="shared" si="910"/>
        <v>DGG (Backer)</v>
      </c>
      <c r="V193" s="275" t="str">
        <f t="shared" si="910"/>
        <v>DGG (€/B)</v>
      </c>
      <c r="W193" s="280" t="str">
        <f t="shared" si="910"/>
        <v>DSK SV (€)</v>
      </c>
      <c r="X193" s="281" t="str">
        <f t="shared" si="910"/>
        <v>DSK SV (Backer)</v>
      </c>
      <c r="Y193" s="282" t="str">
        <f t="shared" si="910"/>
        <v>DSK SV (€/B)</v>
      </c>
      <c r="Z193" s="278" t="str">
        <f t="shared" si="910"/>
        <v>WW (€)</v>
      </c>
      <c r="AA193" s="279" t="str">
        <f t="shared" si="910"/>
        <v>WW (Backer)</v>
      </c>
      <c r="AB193" s="279" t="str">
        <f t="shared" si="910"/>
        <v>WW (€/B)</v>
      </c>
      <c r="AC193" s="280" t="str">
        <f t="shared" si="910"/>
        <v>DSK R (€)</v>
      </c>
      <c r="AD193" s="281" t="str">
        <f t="shared" si="910"/>
        <v>DSK R (Backer)</v>
      </c>
      <c r="AE193" s="282" t="str">
        <f t="shared" si="910"/>
        <v>DSK R (€/B)</v>
      </c>
      <c r="AF193" s="275" t="str">
        <f t="shared" si="910"/>
        <v>Ära (€)</v>
      </c>
      <c r="AG193" s="275" t="str">
        <f t="shared" si="910"/>
        <v>Ära (Backer)</v>
      </c>
      <c r="AH193" s="275" t="str">
        <f t="shared" si="910"/>
        <v>Ära (€/B)</v>
      </c>
      <c r="AI193" s="275" t="str">
        <f t="shared" si="910"/>
        <v>Mosaik (€)</v>
      </c>
      <c r="AJ193" s="275" t="str">
        <f t="shared" si="910"/>
        <v>Mosaik (Backer)</v>
      </c>
      <c r="AK193" s="275" t="str">
        <f t="shared" si="910"/>
        <v>Mosaik (€/B)</v>
      </c>
      <c r="AL193" s="280" t="str">
        <f t="shared" si="910"/>
        <v>DSK ES (€)</v>
      </c>
      <c r="AM193" s="281" t="str">
        <f t="shared" si="910"/>
        <v>DSK ES (Backer)</v>
      </c>
      <c r="AN193" s="282" t="str">
        <f t="shared" si="910"/>
        <v>DSK ES (€/B)</v>
      </c>
      <c r="AO193" s="278" t="str">
        <f t="shared" si="910"/>
        <v>ES (€)</v>
      </c>
      <c r="AP193" s="279" t="str">
        <f t="shared" si="910"/>
        <v>ES (Backer)</v>
      </c>
      <c r="AQ193" s="389" t="str">
        <f t="shared" si="910"/>
        <v>ES (€/B)</v>
      </c>
      <c r="AR193" s="278" t="str">
        <f t="shared" si="910"/>
        <v>WF (€)</v>
      </c>
      <c r="AS193" s="279" t="str">
        <f t="shared" si="910"/>
        <v>WF(Backer)</v>
      </c>
      <c r="AT193" s="389" t="str">
        <f t="shared" si="910"/>
        <v>WF (€/B)</v>
      </c>
      <c r="AU193" s="653" t="str">
        <f t="shared" si="910"/>
        <v>AKM (€)</v>
      </c>
      <c r="AV193" s="274" t="str">
        <f t="shared" si="910"/>
        <v>AKM(Backer)</v>
      </c>
      <c r="AW193" s="274" t="str">
        <f t="shared" si="910"/>
        <v>AKM (€/B)</v>
      </c>
      <c r="AX193" s="275" t="str">
        <f t="shared" si="910"/>
        <v>Lex (€)</v>
      </c>
      <c r="AY193" s="275" t="str">
        <f t="shared" si="910"/>
        <v>Lex(Backer)</v>
      </c>
      <c r="AZ193" s="654" t="str">
        <f t="shared" si="910"/>
        <v>Lex(€/B)</v>
      </c>
      <c r="BA193" s="275" t="str">
        <f t="shared" si="910"/>
        <v>KA (€)</v>
      </c>
      <c r="BB193" s="275" t="str">
        <f t="shared" si="910"/>
        <v>KA (Backer)</v>
      </c>
      <c r="BC193" s="654" t="str">
        <f t="shared" si="910"/>
        <v>KA (€/B)</v>
      </c>
      <c r="BD193" s="805" t="str">
        <f t="shared" si="910"/>
        <v>MAR (€)</v>
      </c>
      <c r="BE193" s="805" t="str">
        <f t="shared" si="910"/>
        <v>MAR (Backer)</v>
      </c>
      <c r="BF193" s="806" t="str">
        <f t="shared" si="910"/>
        <v>MAR (€/B)</v>
      </c>
      <c r="BG193" s="1006" t="s">
        <v>202</v>
      </c>
      <c r="BH193" s="1006"/>
      <c r="BI193" s="1006"/>
      <c r="BJ193" s="1006"/>
      <c r="CE193" s="167"/>
      <c r="CF193" s="166"/>
      <c r="CG193" s="166"/>
      <c r="CH193" s="166"/>
      <c r="CI193" s="166"/>
      <c r="CJ193" s="166"/>
      <c r="CK193" s="166"/>
      <c r="CL193" s="166"/>
      <c r="CM193" s="166"/>
      <c r="CN193" s="166"/>
      <c r="CO193" s="166"/>
      <c r="CP193" s="166"/>
      <c r="CQ193" s="166"/>
      <c r="CR193" s="166"/>
      <c r="CS193" s="166"/>
      <c r="CT193" s="166"/>
      <c r="CU193" s="166"/>
      <c r="CV193" s="166"/>
      <c r="CW193" s="166"/>
      <c r="CX193" s="166"/>
      <c r="CY193" s="166"/>
      <c r="CZ193" s="166"/>
      <c r="DA193" s="166"/>
      <c r="DB193" s="166"/>
      <c r="DC193" s="166"/>
      <c r="DD193" s="166"/>
      <c r="DE193" s="166"/>
      <c r="DF193" s="166"/>
      <c r="DG193" s="166"/>
      <c r="DH193" s="166"/>
      <c r="DI193" s="166"/>
      <c r="DJ193" s="166"/>
      <c r="DK193" s="166"/>
      <c r="DL193" s="166"/>
      <c r="DM193" s="166"/>
      <c r="DN193" s="166"/>
      <c r="DO193" s="166"/>
      <c r="DP193" s="166"/>
      <c r="DQ193" s="166"/>
      <c r="DR193" s="166"/>
      <c r="DS193" s="166"/>
      <c r="DT193" s="166"/>
      <c r="DU193" s="166"/>
      <c r="DV193" s="166"/>
      <c r="DW193" s="166"/>
      <c r="DX193" s="166"/>
      <c r="DY193" s="166"/>
      <c r="DZ193" s="166"/>
      <c r="EA193" s="166"/>
      <c r="EB193" s="166"/>
      <c r="EC193" s="166"/>
      <c r="ED193" s="166"/>
      <c r="EE193" s="166"/>
      <c r="EF193" s="166"/>
      <c r="EG193" s="166"/>
      <c r="EH193" s="166"/>
      <c r="EI193" s="166"/>
      <c r="EJ193" s="166"/>
      <c r="EK193" s="166"/>
      <c r="EL193" s="166"/>
      <c r="FB193" s="166"/>
      <c r="FC193" s="166"/>
      <c r="FD193" s="166"/>
      <c r="FE193" s="166"/>
      <c r="FF193" s="166"/>
      <c r="FG193" s="166"/>
    </row>
    <row r="194" spans="1:163" hidden="1" outlineLevel="1" x14ac:dyDescent="0.25">
      <c r="A194" s="833" t="s">
        <v>192</v>
      </c>
      <c r="B194" s="270">
        <f>SUM(B59:B65)</f>
        <v>0.38784184778250058</v>
      </c>
      <c r="C194" s="270">
        <f>SUM(C59:C65)</f>
        <v>0.35734870317002881</v>
      </c>
      <c r="D194" s="338"/>
      <c r="E194" s="270">
        <f>SUM(E59:E65)</f>
        <v>0.40786521461502862</v>
      </c>
      <c r="F194" s="270">
        <f>SUM(F59:F65)</f>
        <v>0.39021164021164023</v>
      </c>
      <c r="G194" s="338"/>
      <c r="H194" s="270">
        <f>SUM(H59:H65)</f>
        <v>0.45257651947547983</v>
      </c>
      <c r="I194" s="270">
        <f>SUM(I59:I65)</f>
        <v>0.46808510638297873</v>
      </c>
      <c r="J194" s="270"/>
      <c r="K194" s="270">
        <f>SUM(K59:K65)</f>
        <v>0.44696691891411361</v>
      </c>
      <c r="L194" s="270">
        <f>SUM(L59:L65)</f>
        <v>0.47484909456740443</v>
      </c>
      <c r="M194" s="270"/>
      <c r="N194" s="270">
        <f>SUM(N59:N65)</f>
        <v>0.61610694462453519</v>
      </c>
      <c r="O194" s="270">
        <f>SUM(O59:O65)</f>
        <v>0.62740384615384615</v>
      </c>
      <c r="P194" s="270"/>
      <c r="Q194" s="270">
        <f>SUM(Q59:Q65)</f>
        <v>0.42122420340736527</v>
      </c>
      <c r="R194" s="270">
        <f>SUM(R59:R65)</f>
        <v>0.42762364294330518</v>
      </c>
      <c r="S194" s="270"/>
      <c r="T194" s="270">
        <f>SUM(T59:T65)</f>
        <v>0.54752192887698226</v>
      </c>
      <c r="U194" s="270">
        <f>SUM(U59:U65)</f>
        <v>0.53641025641025641</v>
      </c>
      <c r="V194" s="270"/>
      <c r="W194" s="270">
        <f>SUM(W59:W65)</f>
        <v>0.43452086210940555</v>
      </c>
      <c r="X194" s="270">
        <f>SUM(X59:X65)</f>
        <v>0.40620155038759692</v>
      </c>
      <c r="Y194" s="270"/>
      <c r="Z194" s="270">
        <f>SUM(Z59:Z65)</f>
        <v>0.56986145144636058</v>
      </c>
      <c r="AA194" s="270">
        <f>SUM(AA59:AA65)</f>
        <v>0.56726190476190474</v>
      </c>
      <c r="AB194" s="270"/>
      <c r="AC194" s="270">
        <f>SUM(AC59:AC65)</f>
        <v>0.46145994261752371</v>
      </c>
      <c r="AD194" s="270">
        <f>SUM(AD59:AD65)</f>
        <v>0.47211895910780671</v>
      </c>
      <c r="AE194" s="270"/>
      <c r="AF194" s="270">
        <f>SUM(AF59:AF65)</f>
        <v>0.37897993331166563</v>
      </c>
      <c r="AG194" s="270">
        <f>SUM(AG59:AG65)</f>
        <v>0.38292253521126762</v>
      </c>
      <c r="AH194" s="270"/>
      <c r="AI194" s="270">
        <f>SUM(AI59:AI65)</f>
        <v>0.57791473818220762</v>
      </c>
      <c r="AJ194" s="270">
        <f>SUM(AJ59:AJ65)</f>
        <v>0.57130509939498708</v>
      </c>
      <c r="AK194" s="270"/>
      <c r="AL194" s="391"/>
      <c r="AM194" s="391"/>
      <c r="AN194" s="270"/>
      <c r="AO194" s="270">
        <f>SUM(AO59:AO65)</f>
        <v>0.5128246800737204</v>
      </c>
      <c r="AP194" s="270">
        <f>SUM(AP59:AP65)</f>
        <v>0.50817438692098094</v>
      </c>
      <c r="AQ194" s="335"/>
      <c r="AR194" s="270">
        <f>SUM(AR59:AR65)</f>
        <v>0.56400873550393471</v>
      </c>
      <c r="AS194" s="270">
        <f>SUM(AS59:AS65)</f>
        <v>0.5530401034928849</v>
      </c>
      <c r="AT194" s="335"/>
      <c r="AU194" s="270">
        <f>SUM(AU59:AU65)</f>
        <v>0.58794729225509379</v>
      </c>
      <c r="AV194" s="270">
        <f>SUM(AV59:AV65)</f>
        <v>0.61888764464352375</v>
      </c>
      <c r="AW194" s="335"/>
      <c r="AX194" s="270">
        <f>SUM(AX59:AX65)</f>
        <v>0.50916526191603528</v>
      </c>
      <c r="AY194" s="270">
        <f>SUM(AY59:AY65)</f>
        <v>0.50576606260296542</v>
      </c>
      <c r="AZ194" s="335"/>
      <c r="BA194" s="270">
        <f>SUM(BA59:BA65)</f>
        <v>0.60336649036051326</v>
      </c>
      <c r="BB194" s="270">
        <f>SUM(BB59:BB65)</f>
        <v>0.58914250462677364</v>
      </c>
      <c r="BC194" s="335"/>
      <c r="BD194" s="270">
        <f>SUM(BD59:BD65)</f>
        <v>0.60034457336738234</v>
      </c>
      <c r="BE194" s="270">
        <f>SUM(BE59:BE65)</f>
        <v>0.58757062146892658</v>
      </c>
      <c r="BF194" s="335"/>
      <c r="BG194" s="313">
        <f t="shared" ref="BG194:BG196" si="911">AVERAGE(B194,E194,H194,K194,N194,Q194,T194,W194,Z194,AC194,AI194,AO194,AR194,AU194,AX194,BA194)</f>
        <v>0.50632331451004997</v>
      </c>
      <c r="BH194" s="313">
        <f t="shared" ref="BH194:BH196" si="912">AVERAGE(C194,F194,I194,L194,O194,R194,U194,X194,AA194,AD194,AJ194,AP194,AS194,AV194,AY194,BB194)</f>
        <v>0.50461440661118018</v>
      </c>
      <c r="BI194" s="313"/>
      <c r="BJ194" t="s">
        <v>220</v>
      </c>
    </row>
    <row r="195" spans="1:163" hidden="1" outlineLevel="1" x14ac:dyDescent="0.25">
      <c r="A195" s="833" t="s">
        <v>193</v>
      </c>
      <c r="B195" s="269">
        <f>SUM(B66:B72)</f>
        <v>0.23034726120779531</v>
      </c>
      <c r="C195" s="269">
        <f>SUM(C66:C72)</f>
        <v>0.23342939481268016</v>
      </c>
      <c r="D195" s="339"/>
      <c r="E195" s="269">
        <f>SUM(E66:E72)</f>
        <v>0.13758560289629235</v>
      </c>
      <c r="F195" s="269">
        <f>SUM(F66:F72)</f>
        <v>0.14285714285714279</v>
      </c>
      <c r="G195" s="339"/>
      <c r="H195" s="269">
        <f>SUM(H66:H72)</f>
        <v>0.15708118421265382</v>
      </c>
      <c r="I195" s="269">
        <f>SUM(I66:I72)</f>
        <v>0.16565349544072949</v>
      </c>
      <c r="J195" s="269"/>
      <c r="K195" s="269">
        <f>SUM(K66:K72)</f>
        <v>0.19374159638186045</v>
      </c>
      <c r="L195" s="269">
        <f>SUM(L66:L72)</f>
        <v>0.18913480885311873</v>
      </c>
      <c r="M195" s="269"/>
      <c r="N195" s="269">
        <f>SUM(N66:N72)</f>
        <v>0.12268850621347938</v>
      </c>
      <c r="O195" s="269">
        <f>SUM(O66:O72)</f>
        <v>0.11298076923076927</v>
      </c>
      <c r="P195" s="269"/>
      <c r="Q195" s="269">
        <f>SUM(Q66:Q72)</f>
        <v>0.19538702251176038</v>
      </c>
      <c r="R195" s="269">
        <f>SUM(R66:R72)</f>
        <v>0.21170084439083231</v>
      </c>
      <c r="S195" s="269"/>
      <c r="T195" s="269">
        <f>SUM(T66:T72)</f>
        <v>0.12646156505206751</v>
      </c>
      <c r="U195" s="269">
        <f>SUM(U66:U72)</f>
        <v>0.13025641025641022</v>
      </c>
      <c r="V195" s="269"/>
      <c r="W195" s="269">
        <f>SUM(W66:W72)</f>
        <v>0.18789363495000566</v>
      </c>
      <c r="X195" s="269">
        <f>SUM(X66:X72)</f>
        <v>0.20620155038759685</v>
      </c>
      <c r="Y195" s="269"/>
      <c r="Z195" s="269">
        <f>SUM(Z66:Z72)</f>
        <v>0.14720360010479761</v>
      </c>
      <c r="AA195" s="269">
        <f>SUM(AA66:AA72)</f>
        <v>0.15119047619047621</v>
      </c>
      <c r="AB195" s="269"/>
      <c r="AC195" s="269">
        <f>SUM(AC66:AC72)</f>
        <v>0.12963473846832935</v>
      </c>
      <c r="AD195" s="269">
        <f>SUM(AD66:AD72)</f>
        <v>0.11895910780669144</v>
      </c>
      <c r="AE195" s="269"/>
      <c r="AF195" s="269">
        <f>SUM(AF66:AF72)</f>
        <v>0.21826987508978052</v>
      </c>
      <c r="AG195" s="269">
        <f>SUM(AG66:AG72)</f>
        <v>0.22975352112676051</v>
      </c>
      <c r="AH195" s="269"/>
      <c r="AI195" s="269">
        <f>SUM(AI66:AI72)</f>
        <v>0.12483491379823186</v>
      </c>
      <c r="AJ195" s="269">
        <f>SUM(AJ66:AJ72)</f>
        <v>0.12532411408815902</v>
      </c>
      <c r="AK195" s="269"/>
      <c r="AL195" s="269">
        <f>SUM(AL66:AL72)</f>
        <v>0.19568237341721628</v>
      </c>
      <c r="AM195" s="269">
        <f>SUM(AM66:AM72)</f>
        <v>0.17411764705882349</v>
      </c>
      <c r="AN195" s="269"/>
      <c r="AO195" s="269">
        <f>SUM(AO66:AO72)</f>
        <v>0.15035316220758066</v>
      </c>
      <c r="AP195" s="269">
        <f>SUM(AP66:AP72)</f>
        <v>0.14986376021798364</v>
      </c>
      <c r="AQ195" s="350"/>
      <c r="AR195" s="269">
        <f>SUM(AR66:AR72)</f>
        <v>0.17692845693621129</v>
      </c>
      <c r="AS195" s="269">
        <f>SUM(AS66:AS72)</f>
        <v>0.16817593790426899</v>
      </c>
      <c r="AT195" s="350"/>
      <c r="AU195" s="269">
        <f>SUM(AU66:AU72)</f>
        <v>0.12229482922971213</v>
      </c>
      <c r="AV195" s="269">
        <f>SUM(AV66:AV72)</f>
        <v>0.1007838745800671</v>
      </c>
      <c r="AW195" s="350"/>
      <c r="AX195" s="269">
        <f>SUM(AX66:AX72)</f>
        <v>0.15149881583930314</v>
      </c>
      <c r="AY195" s="269">
        <f>SUM(AY66:AY72)</f>
        <v>0.14991762767710048</v>
      </c>
      <c r="AZ195" s="350"/>
      <c r="BA195" s="269">
        <f>SUM(BA66:BA72)</f>
        <v>0.13161493221658771</v>
      </c>
      <c r="BB195" s="269">
        <f>SUM(BB66:BB72)</f>
        <v>0.12954966070326956</v>
      </c>
      <c r="BC195" s="350"/>
      <c r="BD195" s="269">
        <f>SUM(BD66:BD72)</f>
        <v>0.15298461839729494</v>
      </c>
      <c r="BE195" s="269">
        <f>SUM(BE66:BE72)</f>
        <v>0.15480225988700558</v>
      </c>
      <c r="BF195" s="350"/>
      <c r="BG195" s="313">
        <f t="shared" si="911"/>
        <v>0.15534686388916683</v>
      </c>
      <c r="BH195" s="313">
        <f t="shared" si="912"/>
        <v>0.15537368596233098</v>
      </c>
      <c r="BI195" s="313"/>
      <c r="BJ195" t="s">
        <v>221</v>
      </c>
    </row>
    <row r="196" spans="1:163" hidden="1" outlineLevel="1" x14ac:dyDescent="0.25">
      <c r="A196" s="284" t="s">
        <v>194</v>
      </c>
      <c r="B196" s="270">
        <f>SUM(B73:B79)</f>
        <v>0.38181089100970411</v>
      </c>
      <c r="C196" s="270">
        <f>SUM(C73:C79)</f>
        <v>0.40922190201729103</v>
      </c>
      <c r="D196" s="338"/>
      <c r="E196" s="270">
        <f>SUM(E73:E79)</f>
        <v>0.45454918248867904</v>
      </c>
      <c r="F196" s="270">
        <f>SUM(F73:F79)</f>
        <v>0.46693121693121697</v>
      </c>
      <c r="G196" s="338"/>
      <c r="H196" s="270">
        <f>SUM(H73:H79)</f>
        <v>0.39034229631186634</v>
      </c>
      <c r="I196" s="270">
        <f>SUM(I73:I79)</f>
        <v>0.36626139817629177</v>
      </c>
      <c r="J196" s="270"/>
      <c r="K196" s="270">
        <f>SUM(K73:K79)</f>
        <v>0.35929148470402594</v>
      </c>
      <c r="L196" s="270">
        <f>SUM(L73:L79)</f>
        <v>0.33601609657947684</v>
      </c>
      <c r="M196" s="270"/>
      <c r="N196" s="270">
        <f>SUM(N73:N79)</f>
        <v>0.26120454916198543</v>
      </c>
      <c r="O196" s="270">
        <f>SUM(O73:O79)</f>
        <v>0.25961538461538458</v>
      </c>
      <c r="P196" s="270"/>
      <c r="Q196" s="270">
        <f>SUM(Q73:Q79)</f>
        <v>0.38338877408087435</v>
      </c>
      <c r="R196" s="270">
        <f>SUM(R73:R79)</f>
        <v>0.36067551266586251</v>
      </c>
      <c r="S196" s="270"/>
      <c r="T196" s="270">
        <f>SUM(T73:T79)</f>
        <v>0.32601650607095023</v>
      </c>
      <c r="U196" s="270">
        <f>SUM(U73:U79)</f>
        <v>0.33333333333333337</v>
      </c>
      <c r="V196" s="270"/>
      <c r="W196" s="270">
        <f>SUM(W73:W79)</f>
        <v>0.37758550294058879</v>
      </c>
      <c r="X196" s="270">
        <f>SUM(X73:X79)</f>
        <v>0.38759689922480622</v>
      </c>
      <c r="Y196" s="270"/>
      <c r="Z196" s="270">
        <f>SUM(Z73:Z79)</f>
        <v>0.28293494844884182</v>
      </c>
      <c r="AA196" s="270">
        <f>SUM(AA73:AA79)</f>
        <v>0.28154761904761905</v>
      </c>
      <c r="AB196" s="270"/>
      <c r="AC196" s="270">
        <f>SUM(AC73:AC79)</f>
        <v>0.40890531891414694</v>
      </c>
      <c r="AD196" s="270">
        <f>SUM(AD73:AD79)</f>
        <v>0.40892193308550184</v>
      </c>
      <c r="AE196" s="270"/>
      <c r="AF196" s="270">
        <f>SUM(AF73:AF79)</f>
        <v>0.40275019159855385</v>
      </c>
      <c r="AG196" s="270">
        <f>SUM(AG73:AG79)</f>
        <v>0.38732394366197187</v>
      </c>
      <c r="AH196" s="270"/>
      <c r="AI196" s="270">
        <f>SUM(AI73:AI79)</f>
        <v>0.29725034801956052</v>
      </c>
      <c r="AJ196" s="270">
        <f>SUM(AJ73:AJ79)</f>
        <v>0.3033707865168539</v>
      </c>
      <c r="AK196" s="270"/>
      <c r="AL196" s="270">
        <f>SUM(AL73:AL79)</f>
        <v>0.30363900554074119</v>
      </c>
      <c r="AM196" s="270">
        <f>SUM(AM73:AM79)</f>
        <v>0.30823529411764705</v>
      </c>
      <c r="AN196" s="270"/>
      <c r="AO196" s="270">
        <f>SUM(AO73:AO79)</f>
        <v>0.33682215771869894</v>
      </c>
      <c r="AP196" s="270">
        <f>SUM(AP73:AP79)</f>
        <v>0.34196185286103542</v>
      </c>
      <c r="AQ196" s="335"/>
      <c r="AR196" s="270">
        <f>SUM(AR73:AR79)</f>
        <v>0.259062807559854</v>
      </c>
      <c r="AS196" s="270">
        <f>SUM(AS73:AS79)</f>
        <v>0.2787839586028461</v>
      </c>
      <c r="AT196" s="335"/>
      <c r="AU196" s="270">
        <f>SUM(AU73:AU79)</f>
        <v>0.28975787851519408</v>
      </c>
      <c r="AV196" s="270">
        <f>SUM(AV73:AV79)</f>
        <v>0.28032848077640915</v>
      </c>
      <c r="AW196" s="335"/>
      <c r="AX196" s="270">
        <f>SUM(AX73:AX79)</f>
        <v>0.33933592224466158</v>
      </c>
      <c r="AY196" s="270">
        <f>SUM(AY73:AY79)</f>
        <v>0.3443163097199341</v>
      </c>
      <c r="AZ196" s="335"/>
      <c r="BA196" s="270">
        <f>SUM(BA73:BA79)</f>
        <v>0.26501857742289903</v>
      </c>
      <c r="BB196" s="270">
        <f>SUM(BB73:BB79)</f>
        <v>0.28130783466995679</v>
      </c>
      <c r="BC196" s="335"/>
      <c r="BD196" s="270">
        <f>SUM(BD73:BD79)</f>
        <v>0.24667080823532272</v>
      </c>
      <c r="BE196" s="270">
        <f>SUM(BE73:BE79)</f>
        <v>0.25762711864406784</v>
      </c>
      <c r="BF196" s="335"/>
      <c r="BG196" s="313">
        <f t="shared" si="911"/>
        <v>0.33832982160078318</v>
      </c>
      <c r="BH196" s="313">
        <f t="shared" si="912"/>
        <v>0.34001190742648874</v>
      </c>
      <c r="BI196" s="313"/>
      <c r="BJ196" t="s">
        <v>222</v>
      </c>
    </row>
    <row r="197" spans="1:163" hidden="1" outlineLevel="1" x14ac:dyDescent="0.25">
      <c r="AL197" s="1005" t="s">
        <v>315</v>
      </c>
      <c r="AM197" s="1005"/>
      <c r="AN197" s="1005"/>
      <c r="AO197" s="991"/>
      <c r="AP197" s="991"/>
      <c r="AQ197" s="353"/>
      <c r="AR197" s="991"/>
      <c r="AS197" s="991"/>
      <c r="AT197" s="353"/>
      <c r="AU197" s="991"/>
      <c r="AV197" s="991"/>
      <c r="AW197" s="353"/>
      <c r="AX197" s="991" t="s">
        <v>201</v>
      </c>
      <c r="AY197" s="991"/>
      <c r="AZ197" s="353"/>
      <c r="BA197" s="991" t="s">
        <v>201</v>
      </c>
      <c r="BB197" s="991"/>
      <c r="BC197" s="353"/>
      <c r="BD197" s="991" t="s">
        <v>201</v>
      </c>
      <c r="BE197" s="991"/>
      <c r="BF197" s="353"/>
    </row>
    <row r="198" spans="1:163" hidden="1" outlineLevel="1" x14ac:dyDescent="0.25">
      <c r="A198" s="234" t="s">
        <v>24</v>
      </c>
      <c r="B198" s="273" t="str">
        <f>Tabelle3[[#Headers],[Ned (€)]]</f>
        <v>Ned (€)</v>
      </c>
      <c r="C198" s="274" t="str">
        <f>C$8</f>
        <v>Ned (Backer)</v>
      </c>
      <c r="D198" s="337" t="str">
        <f t="shared" ref="D198:BF198" si="913">D$8</f>
        <v>Ned (€/B)</v>
      </c>
      <c r="E198" s="276" t="str">
        <f t="shared" si="913"/>
        <v>Werkzeuge (€)</v>
      </c>
      <c r="F198" s="277" t="str">
        <f t="shared" si="913"/>
        <v>Werkzeuge (Backer)</v>
      </c>
      <c r="G198" s="373" t="str">
        <f t="shared" si="913"/>
        <v>Werkz (€/B)</v>
      </c>
      <c r="H198" s="280" t="str">
        <f t="shared" si="913"/>
        <v>DSK Fasar (€)</v>
      </c>
      <c r="I198" s="281" t="str">
        <f t="shared" si="913"/>
        <v>DSK Fasar (Backer)</v>
      </c>
      <c r="J198" s="282" t="str">
        <f t="shared" si="913"/>
        <v>DSK Fasar (€/B)</v>
      </c>
      <c r="K198" s="273" t="str">
        <f t="shared" si="913"/>
        <v>Mythen (€)</v>
      </c>
      <c r="L198" s="274" t="str">
        <f t="shared" si="913"/>
        <v>Mythen (Backer)</v>
      </c>
      <c r="M198" s="274" t="str">
        <f t="shared" si="913"/>
        <v>Mythen (€/B)</v>
      </c>
      <c r="N198" s="278" t="str">
        <f t="shared" si="913"/>
        <v>SOK (€)</v>
      </c>
      <c r="O198" s="279" t="str">
        <f t="shared" si="913"/>
        <v>SOK (Backer)</v>
      </c>
      <c r="P198" s="279" t="str">
        <f t="shared" si="913"/>
        <v>SOK (€/B)</v>
      </c>
      <c r="Q198" s="275" t="str">
        <f t="shared" si="913"/>
        <v>RE (€)</v>
      </c>
      <c r="R198" s="275" t="str">
        <f t="shared" si="913"/>
        <v>RE (Backer)</v>
      </c>
      <c r="S198" s="275" t="str">
        <f t="shared" si="913"/>
        <v>RE (€/B)</v>
      </c>
      <c r="T198" s="275" t="str">
        <f t="shared" si="913"/>
        <v>DGG (€)</v>
      </c>
      <c r="U198" s="275" t="str">
        <f t="shared" si="913"/>
        <v>DGG (Backer)</v>
      </c>
      <c r="V198" s="275" t="str">
        <f t="shared" si="913"/>
        <v>DGG (€/B)</v>
      </c>
      <c r="W198" s="280" t="str">
        <f t="shared" si="913"/>
        <v>DSK SV (€)</v>
      </c>
      <c r="X198" s="281" t="str">
        <f t="shared" si="913"/>
        <v>DSK SV (Backer)</v>
      </c>
      <c r="Y198" s="282" t="str">
        <f t="shared" si="913"/>
        <v>DSK SV (€/B)</v>
      </c>
      <c r="Z198" s="278" t="str">
        <f t="shared" si="913"/>
        <v>WW (€)</v>
      </c>
      <c r="AA198" s="279" t="str">
        <f t="shared" si="913"/>
        <v>WW (Backer)</v>
      </c>
      <c r="AB198" s="279" t="str">
        <f t="shared" si="913"/>
        <v>WW (€/B)</v>
      </c>
      <c r="AC198" s="280" t="str">
        <f t="shared" si="913"/>
        <v>DSK R (€)</v>
      </c>
      <c r="AD198" s="281" t="str">
        <f t="shared" si="913"/>
        <v>DSK R (Backer)</v>
      </c>
      <c r="AE198" s="282" t="str">
        <f t="shared" si="913"/>
        <v>DSK R (€/B)</v>
      </c>
      <c r="AF198" s="275" t="str">
        <f t="shared" si="913"/>
        <v>Ära (€)</v>
      </c>
      <c r="AG198" s="275" t="str">
        <f t="shared" si="913"/>
        <v>Ära (Backer)</v>
      </c>
      <c r="AH198" s="275" t="str">
        <f t="shared" si="913"/>
        <v>Ära (€/B)</v>
      </c>
      <c r="AI198" s="275" t="str">
        <f t="shared" si="913"/>
        <v>Mosaik (€)</v>
      </c>
      <c r="AJ198" s="275" t="str">
        <f t="shared" si="913"/>
        <v>Mosaik (Backer)</v>
      </c>
      <c r="AK198" s="275" t="str">
        <f t="shared" si="913"/>
        <v>Mosaik (€/B)</v>
      </c>
      <c r="AL198" s="280" t="str">
        <f t="shared" si="913"/>
        <v>DSK ES (€)</v>
      </c>
      <c r="AM198" s="281" t="str">
        <f t="shared" si="913"/>
        <v>DSK ES (Backer)</v>
      </c>
      <c r="AN198" s="282" t="str">
        <f t="shared" si="913"/>
        <v>DSK ES (€/B)</v>
      </c>
      <c r="AO198" s="278" t="str">
        <f t="shared" si="913"/>
        <v>ES (€)</v>
      </c>
      <c r="AP198" s="279" t="str">
        <f t="shared" si="913"/>
        <v>ES (Backer)</v>
      </c>
      <c r="AQ198" s="389" t="str">
        <f t="shared" si="913"/>
        <v>ES (€/B)</v>
      </c>
      <c r="AR198" s="278" t="str">
        <f t="shared" si="913"/>
        <v>WF (€)</v>
      </c>
      <c r="AS198" s="279" t="str">
        <f t="shared" si="913"/>
        <v>WF(Backer)</v>
      </c>
      <c r="AT198" s="389" t="str">
        <f t="shared" si="913"/>
        <v>WF (€/B)</v>
      </c>
      <c r="AU198" s="653" t="str">
        <f t="shared" si="913"/>
        <v>AKM (€)</v>
      </c>
      <c r="AV198" s="274" t="str">
        <f t="shared" si="913"/>
        <v>AKM(Backer)</v>
      </c>
      <c r="AW198" s="274" t="str">
        <f t="shared" si="913"/>
        <v>AKM (€/B)</v>
      </c>
      <c r="AX198" s="275" t="str">
        <f t="shared" si="913"/>
        <v>Lex (€)</v>
      </c>
      <c r="AY198" s="275" t="str">
        <f t="shared" si="913"/>
        <v>Lex(Backer)</v>
      </c>
      <c r="AZ198" s="654" t="str">
        <f t="shared" si="913"/>
        <v>Lex(€/B)</v>
      </c>
      <c r="BA198" s="275" t="str">
        <f t="shared" si="913"/>
        <v>KA (€)</v>
      </c>
      <c r="BB198" s="275" t="str">
        <f t="shared" si="913"/>
        <v>KA (Backer)</v>
      </c>
      <c r="BC198" s="654" t="str">
        <f t="shared" si="913"/>
        <v>KA (€/B)</v>
      </c>
      <c r="BD198" s="805" t="str">
        <f t="shared" si="913"/>
        <v>MAR (€)</v>
      </c>
      <c r="BE198" s="805" t="str">
        <f t="shared" si="913"/>
        <v>MAR (Backer)</v>
      </c>
      <c r="BF198" s="806" t="str">
        <f t="shared" si="913"/>
        <v>MAR (€/B)</v>
      </c>
      <c r="BG198" s="1006" t="s">
        <v>202</v>
      </c>
      <c r="BH198" s="1006"/>
      <c r="BI198" s="1006"/>
      <c r="BJ198" s="1006"/>
      <c r="CE198" s="167"/>
      <c r="CF198" s="166"/>
      <c r="CG198" s="166"/>
      <c r="CH198" s="166"/>
      <c r="CI198" s="166"/>
      <c r="CJ198" s="166"/>
      <c r="CK198" s="166"/>
      <c r="CL198" s="166"/>
      <c r="CM198" s="166"/>
      <c r="CN198" s="166"/>
      <c r="CO198" s="166"/>
      <c r="CP198" s="166"/>
      <c r="CQ198" s="166"/>
      <c r="CR198" s="166"/>
      <c r="CS198" s="166"/>
      <c r="CT198" s="166"/>
      <c r="CU198" s="166"/>
      <c r="CV198" s="166"/>
      <c r="CW198" s="166"/>
      <c r="CX198" s="166"/>
      <c r="CY198" s="166"/>
      <c r="CZ198" s="166"/>
      <c r="DA198" s="166"/>
      <c r="DB198" s="166"/>
      <c r="DC198" s="166"/>
      <c r="DD198" s="166"/>
      <c r="DE198" s="166"/>
      <c r="DF198" s="166"/>
      <c r="DG198" s="166"/>
      <c r="DH198" s="166"/>
      <c r="DI198" s="166"/>
      <c r="DJ198" s="166"/>
      <c r="DK198" s="166"/>
      <c r="DL198" s="166"/>
      <c r="DM198" s="166"/>
      <c r="DN198" s="166"/>
      <c r="DO198" s="166"/>
      <c r="DP198" s="166"/>
      <c r="DQ198" s="166"/>
      <c r="DR198" s="166"/>
      <c r="DS198" s="166"/>
      <c r="DT198" s="166"/>
      <c r="DU198" s="166"/>
      <c r="DV198" s="166"/>
      <c r="DW198" s="166"/>
      <c r="DX198" s="166"/>
      <c r="DY198" s="166"/>
      <c r="DZ198" s="166"/>
      <c r="EA198" s="166"/>
      <c r="EB198" s="166"/>
      <c r="EC198" s="166"/>
      <c r="ED198" s="166"/>
      <c r="EE198" s="166"/>
      <c r="EF198" s="166"/>
      <c r="EG198" s="166"/>
      <c r="EH198" s="166"/>
      <c r="EI198" s="166"/>
      <c r="EJ198" s="166"/>
      <c r="EK198" s="166"/>
      <c r="EL198" s="166"/>
      <c r="FB198" s="166"/>
      <c r="FC198" s="166"/>
      <c r="FD198" s="166"/>
      <c r="FE198" s="166"/>
      <c r="FF198" s="166"/>
      <c r="FG198" s="166"/>
    </row>
    <row r="199" spans="1:163" hidden="1" outlineLevel="1" x14ac:dyDescent="0.25">
      <c r="A199" s="333" t="s">
        <v>59</v>
      </c>
      <c r="B199" s="270">
        <f>B59</f>
        <v>0.23692357045472773</v>
      </c>
      <c r="C199" s="270">
        <f>C59</f>
        <v>0.21037463976945245</v>
      </c>
      <c r="D199" s="338"/>
      <c r="E199" s="270">
        <f>E59</f>
        <v>0.25446248118054376</v>
      </c>
      <c r="F199" s="270">
        <f>F59</f>
        <v>0.23677248677248677</v>
      </c>
      <c r="G199" s="338"/>
      <c r="H199" s="270">
        <f>H59</f>
        <v>0.29429074975342379</v>
      </c>
      <c r="I199" s="270">
        <f>I59</f>
        <v>0.29635258358662614</v>
      </c>
      <c r="J199" s="270"/>
      <c r="K199" s="270">
        <f>K59</f>
        <v>0.21793290440155128</v>
      </c>
      <c r="L199" s="270">
        <f>L59</f>
        <v>0.23138832997987926</v>
      </c>
      <c r="M199" s="270"/>
      <c r="N199" s="270">
        <f>N59</f>
        <v>0.37533932582389773</v>
      </c>
      <c r="O199" s="270">
        <f>O59</f>
        <v>0.37560096153846156</v>
      </c>
      <c r="P199" s="270"/>
      <c r="Q199" s="270">
        <f>Q59</f>
        <v>0.212457139052565</v>
      </c>
      <c r="R199" s="270">
        <f>R59</f>
        <v>0.20566948130277443</v>
      </c>
      <c r="S199" s="270"/>
      <c r="T199" s="270">
        <f>T59</f>
        <v>0.33040660242838005</v>
      </c>
      <c r="U199" s="270">
        <f>U59</f>
        <v>0.32512820512820512</v>
      </c>
      <c r="V199" s="270"/>
      <c r="W199" s="270">
        <f>W59</f>
        <v>0.23216317878953724</v>
      </c>
      <c r="X199" s="270">
        <f>X59</f>
        <v>0.21085271317829457</v>
      </c>
      <c r="Y199" s="270"/>
      <c r="Z199" s="270">
        <f>Z59</f>
        <v>0.29954536347804644</v>
      </c>
      <c r="AA199" s="270">
        <f>AA59</f>
        <v>0.29107142857142859</v>
      </c>
      <c r="AB199" s="270"/>
      <c r="AC199" s="270">
        <f>AC59</f>
        <v>0.23055065107040387</v>
      </c>
      <c r="AD199" s="270">
        <f>AD59</f>
        <v>0.24907063197026022</v>
      </c>
      <c r="AE199" s="270"/>
      <c r="AF199" s="270">
        <f>AF59</f>
        <v>0.15888034218899844</v>
      </c>
      <c r="AG199" s="270">
        <f>AG59</f>
        <v>0.15845070422535212</v>
      </c>
      <c r="AH199" s="270"/>
      <c r="AI199" s="270">
        <f>AI59</f>
        <v>0.30887479624495817</v>
      </c>
      <c r="AJ199" s="270">
        <f>AJ59</f>
        <v>0.2999135695764909</v>
      </c>
      <c r="AK199" s="270"/>
      <c r="AL199" s="391"/>
      <c r="AM199" s="391"/>
      <c r="AN199" s="270"/>
      <c r="AO199" s="270">
        <f>AO59</f>
        <v>0.28716166800477166</v>
      </c>
      <c r="AP199" s="270">
        <f>AP59</f>
        <v>0.26975476839237056</v>
      </c>
      <c r="AQ199" s="335"/>
      <c r="AR199" s="270">
        <f>AR59</f>
        <v>0.34307235591359936</v>
      </c>
      <c r="AS199" s="270">
        <f>AS59</f>
        <v>0.32600258732212162</v>
      </c>
      <c r="AT199" s="335"/>
      <c r="AU199" s="270">
        <f>AU59</f>
        <v>0.32721378729366507</v>
      </c>
      <c r="AV199" s="270">
        <f>AV59</f>
        <v>0.3467711832773423</v>
      </c>
      <c r="AW199" s="335"/>
      <c r="AX199" s="391"/>
      <c r="AY199" s="391"/>
      <c r="AZ199" s="335"/>
      <c r="BA199" s="655">
        <f>BA59</f>
        <v>0.35859951339524071</v>
      </c>
      <c r="BB199" s="655">
        <f>BB59</f>
        <v>0.33929673041332509</v>
      </c>
      <c r="BC199" s="335"/>
      <c r="BD199" s="655">
        <f>BD59</f>
        <v>0.4116889665861746</v>
      </c>
      <c r="BE199" s="655">
        <f>BE59</f>
        <v>0.40847457627118644</v>
      </c>
      <c r="BF199" s="335"/>
      <c r="BG199" s="752">
        <f t="shared" ref="BG199:BG202" si="914">AVERAGE(B199,E199,H199,K199,N199,Q199,T199,W199,Z199,AC199,AI199,AO199,AR199,AU199,AX199,BA199)</f>
        <v>0.28726627248568742</v>
      </c>
      <c r="BH199" s="752">
        <f t="shared" ref="BH199:BH202" si="915">AVERAGE(C199,F199,I199,L199,O199,R199,U199,X199,AA199,AD199,AJ199,AP199,AS199,AV199,AY199,BB199)</f>
        <v>0.28093468671863459</v>
      </c>
      <c r="BI199" s="313"/>
      <c r="BJ199" s="334" t="s">
        <v>225</v>
      </c>
      <c r="BK199" s="334"/>
      <c r="BL199" s="334"/>
    </row>
    <row r="200" spans="1:163" hidden="1" outlineLevel="1" x14ac:dyDescent="0.25">
      <c r="A200" s="833" t="s">
        <v>223</v>
      </c>
      <c r="B200" s="269">
        <f>SUM(B60:B66)</f>
        <v>0.19100168417675834</v>
      </c>
      <c r="C200" s="269">
        <f>SUM(C60:C66)</f>
        <v>0.18155619596541786</v>
      </c>
      <c r="D200" s="339"/>
      <c r="E200" s="269">
        <f>SUM(E60:E66)</f>
        <v>0.17191463436066573</v>
      </c>
      <c r="F200" s="269">
        <f>SUM(F60:F66)</f>
        <v>0.17063492063492061</v>
      </c>
      <c r="G200" s="339"/>
      <c r="H200" s="269">
        <f>SUM(H60:H66)</f>
        <v>0.18103545847009556</v>
      </c>
      <c r="I200" s="269">
        <f>SUM(I60:I66)</f>
        <v>0.19756838905775076</v>
      </c>
      <c r="J200" s="269"/>
      <c r="K200" s="269">
        <f>SUM(K60:K66)</f>
        <v>0.26840461823960171</v>
      </c>
      <c r="L200" s="269">
        <f>SUM(L60:L66)</f>
        <v>0.27766599597585517</v>
      </c>
      <c r="M200" s="269"/>
      <c r="N200" s="269">
        <f>SUM(N60:N66)</f>
        <v>0.26944875500361809</v>
      </c>
      <c r="O200" s="269">
        <f>SUM(O60:O66)</f>
        <v>0.27584134615384615</v>
      </c>
      <c r="P200" s="269"/>
      <c r="Q200" s="269">
        <f>SUM(Q60:Q66)</f>
        <v>0.25580079230333896</v>
      </c>
      <c r="R200" s="269">
        <f>SUM(R60:R66)</f>
        <v>0.27201447527141132</v>
      </c>
      <c r="S200" s="269"/>
      <c r="T200" s="269">
        <f>SUM(T60:T66)</f>
        <v>0.23153437324460957</v>
      </c>
      <c r="U200" s="269">
        <f>SUM(U60:U66)</f>
        <v>0.22769230769230769</v>
      </c>
      <c r="V200" s="269"/>
      <c r="W200" s="269">
        <f>SUM(W60:W66)</f>
        <v>0.24112828264401065</v>
      </c>
      <c r="X200" s="269">
        <f>SUM(X60:X66)</f>
        <v>0.23410852713178293</v>
      </c>
      <c r="Y200" s="269"/>
      <c r="Z200" s="269">
        <f>SUM(Z60:Z66)</f>
        <v>0.29621958173439983</v>
      </c>
      <c r="AA200" s="269">
        <f>SUM(AA60:AA66)</f>
        <v>0.30059523809523808</v>
      </c>
      <c r="AB200" s="269"/>
      <c r="AC200" s="269">
        <f>SUM(AC60:AC66)</f>
        <v>0.25697969543147214</v>
      </c>
      <c r="AD200" s="269">
        <f>SUM(AD60:AD66)</f>
        <v>0.24907063197026022</v>
      </c>
      <c r="AE200" s="269"/>
      <c r="AF200" s="269">
        <f>SUM(AF60:AF66)</f>
        <v>0.25470369434112167</v>
      </c>
      <c r="AG200" s="269">
        <f>SUM(AG60:AG66)</f>
        <v>0.26056338028169013</v>
      </c>
      <c r="AH200" s="269"/>
      <c r="AI200" s="269">
        <f>SUM(AI60:AI66)</f>
        <v>0.29001630040334581</v>
      </c>
      <c r="AJ200" s="269">
        <f>SUM(AJ60:AJ66)</f>
        <v>0.29386343993085567</v>
      </c>
      <c r="AK200" s="269"/>
      <c r="AL200" s="392"/>
      <c r="AM200" s="392"/>
      <c r="AN200" s="269"/>
      <c r="AO200" s="269">
        <f>SUM(AO60:AO66)</f>
        <v>0.24958962974038595</v>
      </c>
      <c r="AP200" s="269">
        <f>SUM(AP60:AP66)</f>
        <v>0.2622615803814714</v>
      </c>
      <c r="AQ200" s="350"/>
      <c r="AR200" s="269">
        <f>SUM(AR60:AR66)</f>
        <v>0.24468673996349771</v>
      </c>
      <c r="AS200" s="269">
        <f>SUM(AS60:AS66)</f>
        <v>0.24450194049159124</v>
      </c>
      <c r="AT200" s="350"/>
      <c r="AU200" s="269">
        <f>SUM(AU60:AU66)</f>
        <v>0.28241413427935008</v>
      </c>
      <c r="AV200" s="269">
        <f>SUM(AV60:AV66)</f>
        <v>0.29525942515864129</v>
      </c>
      <c r="AW200" s="350"/>
      <c r="AX200" s="269">
        <f>SUM(AX60:AX66)</f>
        <v>0.54152426017312394</v>
      </c>
      <c r="AY200" s="269">
        <f>SUM(AY60:AY66)</f>
        <v>0.53706754530477763</v>
      </c>
      <c r="AZ200" s="350"/>
      <c r="BA200" s="269">
        <f>SUM(BA60:BA66)</f>
        <v>0.27498584829336886</v>
      </c>
      <c r="BB200" s="269">
        <f>SUM(BB60:BB66)</f>
        <v>0.2806909315237508</v>
      </c>
      <c r="BC200" s="350"/>
      <c r="BD200" s="269">
        <f>SUM(BD60:BD66)</f>
        <v>0.20771952383857817</v>
      </c>
      <c r="BE200" s="269">
        <f>SUM(BE60:BE66)</f>
        <v>0.19774011299435024</v>
      </c>
      <c r="BF200" s="350"/>
      <c r="BG200" s="313">
        <f t="shared" si="914"/>
        <v>0.26541779927885267</v>
      </c>
      <c r="BH200" s="313">
        <f t="shared" si="915"/>
        <v>0.26877455567124242</v>
      </c>
      <c r="BI200" s="313"/>
      <c r="BJ200" s="334" t="s">
        <v>226</v>
      </c>
      <c r="BK200" s="334"/>
      <c r="BL200" s="334"/>
    </row>
    <row r="201" spans="1:163" hidden="1" outlineLevel="1" x14ac:dyDescent="0.25">
      <c r="A201" s="833" t="s">
        <v>224</v>
      </c>
      <c r="B201" s="270">
        <f>SUM(B67:B76)</f>
        <v>0.32050685700537335</v>
      </c>
      <c r="C201" s="270">
        <f>SUM(C67:C76)</f>
        <v>0.32853025936599423</v>
      </c>
      <c r="D201" s="338"/>
      <c r="E201" s="270">
        <f>SUM(E67:E76)</f>
        <v>0.24977592398404225</v>
      </c>
      <c r="F201" s="270">
        <f>SUM(F67:F76)</f>
        <v>0.25529100529100529</v>
      </c>
      <c r="G201" s="338"/>
      <c r="H201" s="270">
        <f>SUM(H67:H76)</f>
        <v>0.26823451420440769</v>
      </c>
      <c r="I201" s="270">
        <f>SUM(I67:I76)</f>
        <v>0.28723404255319146</v>
      </c>
      <c r="J201" s="270"/>
      <c r="K201" s="270">
        <f>SUM(K67:K76)</f>
        <v>0.25539220588725536</v>
      </c>
      <c r="L201" s="270">
        <f>SUM(L67:L76)</f>
        <v>0.24949698189134806</v>
      </c>
      <c r="M201" s="270"/>
      <c r="N201" s="270">
        <f>SUM(N67:N76)</f>
        <v>0.20480849266136014</v>
      </c>
      <c r="O201" s="270">
        <f>SUM(O67:O76)</f>
        <v>0.20132211538461542</v>
      </c>
      <c r="P201" s="270"/>
      <c r="Q201" s="270">
        <f>SUM(Q67:Q76)</f>
        <v>0.25088922861818097</v>
      </c>
      <c r="R201" s="270">
        <f>SUM(R67:R76)</f>
        <v>0.25211097708082025</v>
      </c>
      <c r="S201" s="270"/>
      <c r="T201" s="270">
        <f>SUM(T67:T76)</f>
        <v>0.24835587434645467</v>
      </c>
      <c r="U201" s="270">
        <f>SUM(U67:U76)</f>
        <v>0.24820512820512819</v>
      </c>
      <c r="V201" s="270"/>
      <c r="W201" s="270">
        <f>SUM(W67:W76)</f>
        <v>0.28327817014585671</v>
      </c>
      <c r="X201" s="270">
        <f>SUM(X67:X76)</f>
        <v>0.31627906976744186</v>
      </c>
      <c r="Y201" s="270"/>
      <c r="Z201" s="270">
        <f>SUM(Z67:Z76)</f>
        <v>0.22825835683572981</v>
      </c>
      <c r="AA201" s="270">
        <f>SUM(AA67:AA76)</f>
        <v>0.23333333333333328</v>
      </c>
      <c r="AB201" s="270"/>
      <c r="AC201" s="270">
        <f>SUM(AC67:AC76)</f>
        <v>0.20941845067314058</v>
      </c>
      <c r="AD201" s="270">
        <f>SUM(AD67:AD76)</f>
        <v>0.19330855018587362</v>
      </c>
      <c r="AE201" s="270"/>
      <c r="AF201" s="270">
        <f>SUM(AF67:AF76)</f>
        <v>0.30961122546836317</v>
      </c>
      <c r="AG201" s="270">
        <f>SUM(AG67:AG76)</f>
        <v>0.30369718309859151</v>
      </c>
      <c r="AH201" s="270"/>
      <c r="AI201" s="270">
        <f>SUM(AI67:AI76)</f>
        <v>0.19044106273870565</v>
      </c>
      <c r="AJ201" s="270">
        <f>SUM(AJ67:AJ76)</f>
        <v>0.17718236819360411</v>
      </c>
      <c r="AK201" s="270"/>
      <c r="AL201" s="270">
        <f>SUM(AL67:AL76)</f>
        <v>0.29753939993932332</v>
      </c>
      <c r="AM201" s="270">
        <f>SUM(AM67:AM76)</f>
        <v>0.26588235294117657</v>
      </c>
      <c r="AN201" s="270"/>
      <c r="AO201" s="270">
        <f>SUM(AO67:AO76)</f>
        <v>0.23498857464188083</v>
      </c>
      <c r="AP201" s="270">
        <f>SUM(AP67:AP76)</f>
        <v>0.22615803814713897</v>
      </c>
      <c r="AQ201" s="335"/>
      <c r="AR201" s="270">
        <f>SUM(AR67:AR76)</f>
        <v>0.2621402043118467</v>
      </c>
      <c r="AS201" s="270">
        <f>SUM(AS67:AS76)</f>
        <v>0.26778783958602836</v>
      </c>
      <c r="AT201" s="335"/>
      <c r="AU201" s="270">
        <f>SUM(AU67:AU76)</f>
        <v>0.20031335958393115</v>
      </c>
      <c r="AV201" s="270">
        <f>SUM(AV67:AV76)</f>
        <v>0.15976110488988426</v>
      </c>
      <c r="AW201" s="335"/>
      <c r="AX201" s="270">
        <f>SUM(AX67:AX76)</f>
        <v>0.3149164958631202</v>
      </c>
      <c r="AY201" s="270">
        <f>SUM(AY67:AY76)</f>
        <v>0.30889621087314656</v>
      </c>
      <c r="AZ201" s="335"/>
      <c r="BA201" s="270">
        <f>SUM(BA67:BA76)</f>
        <v>0.19180064091674942</v>
      </c>
      <c r="BB201" s="270">
        <f>SUM(BB67:BB76)</f>
        <v>0.20234423195558293</v>
      </c>
      <c r="BC201" s="335"/>
      <c r="BD201" s="270">
        <f>SUM(BD67:BD76)</f>
        <v>0.22101965066607954</v>
      </c>
      <c r="BE201" s="270">
        <f>SUM(BE67:BE76)</f>
        <v>0.23050847457627122</v>
      </c>
      <c r="BF201" s="335"/>
      <c r="BG201" s="313">
        <f t="shared" si="914"/>
        <v>0.24459490077612717</v>
      </c>
      <c r="BH201" s="313">
        <f t="shared" si="915"/>
        <v>0.24420257854400862</v>
      </c>
      <c r="BI201" s="313"/>
      <c r="BJ201" s="334" t="s">
        <v>227</v>
      </c>
      <c r="BK201" s="334"/>
      <c r="BL201" s="334"/>
    </row>
    <row r="202" spans="1:163" hidden="1" outlineLevel="1" x14ac:dyDescent="0.25">
      <c r="A202" s="284" t="s">
        <v>196</v>
      </c>
      <c r="B202" s="270">
        <f>SUM(B77:B79)</f>
        <v>0.25156788836314059</v>
      </c>
      <c r="C202" s="270">
        <f>SUM(C77:C79)</f>
        <v>0.27953890489913547</v>
      </c>
      <c r="D202" s="338"/>
      <c r="E202" s="270">
        <f>SUM(E77:E79)</f>
        <v>0.32384696047474826</v>
      </c>
      <c r="F202" s="270">
        <f>SUM(F77:F79)</f>
        <v>0.33730158730158732</v>
      </c>
      <c r="G202" s="338"/>
      <c r="H202" s="270">
        <f>SUM(H77:H79)</f>
        <v>0.25643927757207297</v>
      </c>
      <c r="I202" s="270">
        <f>SUM(I77:I79)</f>
        <v>0.21884498480243164</v>
      </c>
      <c r="J202" s="270"/>
      <c r="K202" s="270">
        <f>SUM(K77:K79)</f>
        <v>0.25827027147159165</v>
      </c>
      <c r="L202" s="270">
        <f>SUM(L77:L79)</f>
        <v>0.24144869215291753</v>
      </c>
      <c r="M202" s="270"/>
      <c r="N202" s="270">
        <f>SUM(N77:N79)</f>
        <v>0.15040342651112404</v>
      </c>
      <c r="O202" s="270">
        <f>SUM(O77:O79)</f>
        <v>0.14723557692307687</v>
      </c>
      <c r="P202" s="270"/>
      <c r="Q202" s="270">
        <f>SUM(Q77:Q79)</f>
        <v>0.28085284002591504</v>
      </c>
      <c r="R202" s="270">
        <f>SUM(R77:R79)</f>
        <v>0.27020506634499397</v>
      </c>
      <c r="S202" s="270"/>
      <c r="T202" s="270">
        <f>SUM(T77:T79)</f>
        <v>0.18970314998055571</v>
      </c>
      <c r="U202" s="270">
        <f>SUM(U77:U79)</f>
        <v>0.198974358974359</v>
      </c>
      <c r="V202" s="270"/>
      <c r="W202" s="270">
        <f>SUM(W77:W79)</f>
        <v>0.2434303684205954</v>
      </c>
      <c r="X202" s="270">
        <f>SUM(X77:X79)</f>
        <v>0.23875968992248064</v>
      </c>
      <c r="Y202" s="270"/>
      <c r="Z202" s="270">
        <f>SUM(Z77:Z79)</f>
        <v>0.17597669795182391</v>
      </c>
      <c r="AA202" s="270">
        <f>SUM(AA77:AA79)</f>
        <v>0.17500000000000004</v>
      </c>
      <c r="AB202" s="270"/>
      <c r="AC202" s="270">
        <f>SUM(AC77:AC79)</f>
        <v>0.30305120282498343</v>
      </c>
      <c r="AD202" s="270">
        <f>SUM(AD77:AD79)</f>
        <v>0.30855018587360594</v>
      </c>
      <c r="AE202" s="270"/>
      <c r="AF202" s="270">
        <f>SUM(AF77:AF79)</f>
        <v>0.27680473800151673</v>
      </c>
      <c r="AG202" s="270">
        <f>SUM(AG77:AG79)</f>
        <v>0.27728873239436624</v>
      </c>
      <c r="AH202" s="270"/>
      <c r="AI202" s="270">
        <f>SUM(AI77:AI79)</f>
        <v>0.21066784061299038</v>
      </c>
      <c r="AJ202" s="270">
        <f>SUM(AJ77:AJ79)</f>
        <v>0.22904062229904931</v>
      </c>
      <c r="AK202" s="270"/>
      <c r="AL202" s="270">
        <f>SUM(AL77:AL79)</f>
        <v>0.16975106583422483</v>
      </c>
      <c r="AM202" s="270">
        <f>SUM(AM77:AM79)</f>
        <v>0.18352941176470583</v>
      </c>
      <c r="AN202" s="270"/>
      <c r="AO202" s="270">
        <f>SUM(AO77:AO79)</f>
        <v>0.22826012761296155</v>
      </c>
      <c r="AP202" s="270">
        <f>SUM(AP77:AP79)</f>
        <v>0.24182561307901906</v>
      </c>
      <c r="AQ202" s="335"/>
      <c r="AR202" s="270">
        <f>SUM(AR77:AR79)</f>
        <v>0.15010069981105623</v>
      </c>
      <c r="AS202" s="270">
        <f>SUM(AS77:AS79)</f>
        <v>0.16170763260025878</v>
      </c>
      <c r="AT202" s="335"/>
      <c r="AU202" s="270">
        <f>SUM(AU77:AU79)</f>
        <v>0.1900587188430537</v>
      </c>
      <c r="AV202" s="270">
        <f>SUM(AV77:AV79)</f>
        <v>0.19820828667413215</v>
      </c>
      <c r="AW202" s="335"/>
      <c r="AX202" s="270">
        <f>SUM(AX77:AX79)</f>
        <v>0.14355924396375586</v>
      </c>
      <c r="AY202" s="270">
        <f>SUM(AY77:AY79)</f>
        <v>0.15403624382207581</v>
      </c>
      <c r="AZ202" s="335"/>
      <c r="BA202" s="270">
        <f>SUM(BA77:BA79)</f>
        <v>0.17461399739464101</v>
      </c>
      <c r="BB202" s="270">
        <f>SUM(BB77:BB79)</f>
        <v>0.17766810610734118</v>
      </c>
      <c r="BC202" s="335"/>
      <c r="BD202" s="270">
        <f>SUM(BD77:BD79)</f>
        <v>0.1595718589091677</v>
      </c>
      <c r="BE202" s="270">
        <f>SUM(BE77:BE79)</f>
        <v>0.16327683615819211</v>
      </c>
      <c r="BF202" s="335"/>
      <c r="BG202" s="313">
        <f t="shared" si="914"/>
        <v>0.2206751694896881</v>
      </c>
      <c r="BH202" s="313">
        <f t="shared" si="915"/>
        <v>0.22364659698602901</v>
      </c>
      <c r="BI202" s="313"/>
      <c r="BJ202" s="334" t="s">
        <v>215</v>
      </c>
      <c r="BK202" s="334"/>
      <c r="BL202" s="334"/>
    </row>
    <row r="203" spans="1:163" hidden="1" outlineLevel="1" x14ac:dyDescent="0.25">
      <c r="AL203" s="1005" t="s">
        <v>315</v>
      </c>
      <c r="AM203" s="1005"/>
      <c r="AN203" s="1005"/>
      <c r="AO203" s="991"/>
      <c r="AP203" s="991"/>
      <c r="AQ203" s="353"/>
      <c r="AR203" s="991"/>
      <c r="AS203" s="991"/>
      <c r="AT203" s="353"/>
      <c r="AU203" s="991"/>
      <c r="AV203" s="991"/>
      <c r="AW203" s="353"/>
      <c r="AX203" s="991" t="s">
        <v>201</v>
      </c>
      <c r="AY203" s="991"/>
      <c r="AZ203" s="353"/>
      <c r="BA203" s="991" t="s">
        <v>201</v>
      </c>
      <c r="BB203" s="991"/>
      <c r="BC203" s="353"/>
      <c r="BD203" s="991" t="s">
        <v>201</v>
      </c>
      <c r="BE203" s="991"/>
      <c r="BF203" s="353"/>
    </row>
    <row r="204" spans="1:163" hidden="1" outlineLevel="1" x14ac:dyDescent="0.25">
      <c r="A204" s="234" t="s">
        <v>24</v>
      </c>
      <c r="B204" s="273" t="str">
        <f>Tabelle3[[#Headers],[Ned (€)]]</f>
        <v>Ned (€)</v>
      </c>
      <c r="C204" s="274" t="str">
        <f>C$8</f>
        <v>Ned (Backer)</v>
      </c>
      <c r="D204" s="337" t="str">
        <f t="shared" ref="D204:BF204" si="916">D$8</f>
        <v>Ned (€/B)</v>
      </c>
      <c r="E204" s="276" t="str">
        <f t="shared" si="916"/>
        <v>Werkzeuge (€)</v>
      </c>
      <c r="F204" s="277" t="str">
        <f t="shared" si="916"/>
        <v>Werkzeuge (Backer)</v>
      </c>
      <c r="G204" s="373" t="str">
        <f t="shared" si="916"/>
        <v>Werkz (€/B)</v>
      </c>
      <c r="H204" s="280" t="str">
        <f t="shared" si="916"/>
        <v>DSK Fasar (€)</v>
      </c>
      <c r="I204" s="281" t="str">
        <f t="shared" si="916"/>
        <v>DSK Fasar (Backer)</v>
      </c>
      <c r="J204" s="282" t="str">
        <f t="shared" si="916"/>
        <v>DSK Fasar (€/B)</v>
      </c>
      <c r="K204" s="273" t="str">
        <f t="shared" si="916"/>
        <v>Mythen (€)</v>
      </c>
      <c r="L204" s="274" t="str">
        <f t="shared" si="916"/>
        <v>Mythen (Backer)</v>
      </c>
      <c r="M204" s="274" t="str">
        <f t="shared" si="916"/>
        <v>Mythen (€/B)</v>
      </c>
      <c r="N204" s="278" t="str">
        <f t="shared" si="916"/>
        <v>SOK (€)</v>
      </c>
      <c r="O204" s="279" t="str">
        <f t="shared" si="916"/>
        <v>SOK (Backer)</v>
      </c>
      <c r="P204" s="279" t="str">
        <f t="shared" si="916"/>
        <v>SOK (€/B)</v>
      </c>
      <c r="Q204" s="275" t="str">
        <f t="shared" si="916"/>
        <v>RE (€)</v>
      </c>
      <c r="R204" s="275" t="str">
        <f t="shared" si="916"/>
        <v>RE (Backer)</v>
      </c>
      <c r="S204" s="275" t="str">
        <f t="shared" si="916"/>
        <v>RE (€/B)</v>
      </c>
      <c r="T204" s="275" t="str">
        <f t="shared" si="916"/>
        <v>DGG (€)</v>
      </c>
      <c r="U204" s="275" t="str">
        <f t="shared" si="916"/>
        <v>DGG (Backer)</v>
      </c>
      <c r="V204" s="275" t="str">
        <f t="shared" si="916"/>
        <v>DGG (€/B)</v>
      </c>
      <c r="W204" s="280" t="str">
        <f t="shared" si="916"/>
        <v>DSK SV (€)</v>
      </c>
      <c r="X204" s="281" t="str">
        <f t="shared" si="916"/>
        <v>DSK SV (Backer)</v>
      </c>
      <c r="Y204" s="282" t="str">
        <f t="shared" si="916"/>
        <v>DSK SV (€/B)</v>
      </c>
      <c r="Z204" s="278" t="str">
        <f t="shared" si="916"/>
        <v>WW (€)</v>
      </c>
      <c r="AA204" s="279" t="str">
        <f t="shared" si="916"/>
        <v>WW (Backer)</v>
      </c>
      <c r="AB204" s="279" t="str">
        <f t="shared" si="916"/>
        <v>WW (€/B)</v>
      </c>
      <c r="AC204" s="280" t="str">
        <f t="shared" si="916"/>
        <v>DSK R (€)</v>
      </c>
      <c r="AD204" s="281" t="str">
        <f t="shared" si="916"/>
        <v>DSK R (Backer)</v>
      </c>
      <c r="AE204" s="282" t="str">
        <f t="shared" si="916"/>
        <v>DSK R (€/B)</v>
      </c>
      <c r="AF204" s="275" t="str">
        <f t="shared" si="916"/>
        <v>Ära (€)</v>
      </c>
      <c r="AG204" s="275" t="str">
        <f t="shared" si="916"/>
        <v>Ära (Backer)</v>
      </c>
      <c r="AH204" s="275" t="str">
        <f t="shared" si="916"/>
        <v>Ära (€/B)</v>
      </c>
      <c r="AI204" s="275" t="str">
        <f t="shared" si="916"/>
        <v>Mosaik (€)</v>
      </c>
      <c r="AJ204" s="275" t="str">
        <f t="shared" si="916"/>
        <v>Mosaik (Backer)</v>
      </c>
      <c r="AK204" s="275" t="str">
        <f t="shared" si="916"/>
        <v>Mosaik (€/B)</v>
      </c>
      <c r="AL204" s="280" t="str">
        <f t="shared" si="916"/>
        <v>DSK ES (€)</v>
      </c>
      <c r="AM204" s="281" t="str">
        <f t="shared" si="916"/>
        <v>DSK ES (Backer)</v>
      </c>
      <c r="AN204" s="282" t="str">
        <f t="shared" si="916"/>
        <v>DSK ES (€/B)</v>
      </c>
      <c r="AO204" s="278" t="str">
        <f t="shared" si="916"/>
        <v>ES (€)</v>
      </c>
      <c r="AP204" s="279" t="str">
        <f t="shared" si="916"/>
        <v>ES (Backer)</v>
      </c>
      <c r="AQ204" s="389" t="str">
        <f t="shared" si="916"/>
        <v>ES (€/B)</v>
      </c>
      <c r="AR204" s="278" t="str">
        <f t="shared" si="916"/>
        <v>WF (€)</v>
      </c>
      <c r="AS204" s="279" t="str">
        <f t="shared" si="916"/>
        <v>WF(Backer)</v>
      </c>
      <c r="AT204" s="389" t="str">
        <f t="shared" si="916"/>
        <v>WF (€/B)</v>
      </c>
      <c r="AU204" s="653" t="str">
        <f t="shared" si="916"/>
        <v>AKM (€)</v>
      </c>
      <c r="AV204" s="274" t="str">
        <f t="shared" si="916"/>
        <v>AKM(Backer)</v>
      </c>
      <c r="AW204" s="274" t="str">
        <f t="shared" si="916"/>
        <v>AKM (€/B)</v>
      </c>
      <c r="AX204" s="275" t="str">
        <f t="shared" si="916"/>
        <v>Lex (€)</v>
      </c>
      <c r="AY204" s="275" t="str">
        <f t="shared" si="916"/>
        <v>Lex(Backer)</v>
      </c>
      <c r="AZ204" s="654" t="str">
        <f t="shared" si="916"/>
        <v>Lex(€/B)</v>
      </c>
      <c r="BA204" s="275" t="str">
        <f t="shared" si="916"/>
        <v>KA (€)</v>
      </c>
      <c r="BB204" s="275" t="str">
        <f t="shared" si="916"/>
        <v>KA (Backer)</v>
      </c>
      <c r="BC204" s="654" t="str">
        <f t="shared" si="916"/>
        <v>KA (€/B)</v>
      </c>
      <c r="BD204" s="805" t="str">
        <f t="shared" si="916"/>
        <v>MAR (€)</v>
      </c>
      <c r="BE204" s="805" t="str">
        <f t="shared" si="916"/>
        <v>MAR (Backer)</v>
      </c>
      <c r="BF204" s="806" t="str">
        <f t="shared" si="916"/>
        <v>MAR (€/B)</v>
      </c>
      <c r="BG204" s="1006" t="s">
        <v>202</v>
      </c>
      <c r="BH204" s="1006"/>
      <c r="BI204" s="1006"/>
      <c r="BJ204" s="1006"/>
      <c r="CE204" s="167"/>
      <c r="CF204" s="166"/>
      <c r="CG204" s="166"/>
      <c r="CH204" s="166"/>
      <c r="CI204" s="166"/>
      <c r="CJ204" s="166"/>
      <c r="CK204" s="166"/>
      <c r="CL204" s="166"/>
      <c r="CM204" s="166"/>
      <c r="CN204" s="166"/>
      <c r="CO204" s="166"/>
      <c r="CP204" s="166"/>
      <c r="CQ204" s="166"/>
      <c r="CR204" s="166"/>
      <c r="CS204" s="166"/>
      <c r="CT204" s="166"/>
      <c r="CU204" s="166"/>
      <c r="CV204" s="166"/>
      <c r="CW204" s="166"/>
      <c r="CX204" s="166"/>
      <c r="CY204" s="166"/>
      <c r="CZ204" s="166"/>
      <c r="DA204" s="166"/>
      <c r="DB204" s="166"/>
      <c r="DC204" s="166"/>
      <c r="DD204" s="166"/>
      <c r="DE204" s="166"/>
      <c r="DF204" s="166"/>
      <c r="DG204" s="166"/>
      <c r="DH204" s="166"/>
      <c r="DI204" s="166"/>
      <c r="DJ204" s="166"/>
      <c r="DK204" s="166"/>
      <c r="DL204" s="166"/>
      <c r="DM204" s="166"/>
      <c r="DN204" s="166"/>
      <c r="DO204" s="166"/>
      <c r="DP204" s="166"/>
      <c r="DQ204" s="166"/>
      <c r="DR204" s="166"/>
      <c r="DS204" s="166"/>
      <c r="DT204" s="166"/>
      <c r="DU204" s="166"/>
      <c r="DV204" s="166"/>
      <c r="DW204" s="166"/>
      <c r="DX204" s="166"/>
      <c r="DY204" s="166"/>
      <c r="DZ204" s="166"/>
      <c r="EA204" s="166"/>
      <c r="EB204" s="166"/>
      <c r="EC204" s="166"/>
      <c r="ED204" s="166"/>
      <c r="EE204" s="166"/>
      <c r="EF204" s="166"/>
      <c r="EG204" s="166"/>
      <c r="EH204" s="166"/>
      <c r="EI204" s="166"/>
      <c r="EJ204" s="166"/>
      <c r="EK204" s="166"/>
      <c r="EL204" s="166"/>
      <c r="FB204" s="166"/>
      <c r="FC204" s="166"/>
      <c r="FD204" s="166"/>
      <c r="FE204" s="166"/>
      <c r="FF204" s="166"/>
      <c r="FG204" s="166"/>
    </row>
    <row r="205" spans="1:163" hidden="1" outlineLevel="1" x14ac:dyDescent="0.25">
      <c r="A205" s="833" t="s">
        <v>398</v>
      </c>
      <c r="B205" s="270">
        <f>SUM(B59:B66)</f>
        <v>0.42792525463148606</v>
      </c>
      <c r="C205" s="270">
        <f>SUM(C59:C66)</f>
        <v>0.39193083573487031</v>
      </c>
      <c r="D205" s="338"/>
      <c r="E205" s="270">
        <f>SUM(E59:E66)</f>
        <v>0.42637711554120949</v>
      </c>
      <c r="F205" s="270">
        <f>SUM(F59:F66)</f>
        <v>0.40740740740740738</v>
      </c>
      <c r="G205" s="338"/>
      <c r="H205" s="270">
        <f>SUM(H59:H66)</f>
        <v>0.47532620822351934</v>
      </c>
      <c r="I205" s="270">
        <f>SUM(I59:I66)</f>
        <v>0.4939209726443769</v>
      </c>
      <c r="J205" s="270"/>
      <c r="K205" s="270">
        <f>SUM(K59:K66)</f>
        <v>0.48633752264115299</v>
      </c>
      <c r="L205" s="270">
        <f>SUM(L59:L66)</f>
        <v>0.50905432595573441</v>
      </c>
      <c r="M205" s="270"/>
      <c r="N205" s="270">
        <f>SUM(N59:N66)</f>
        <v>0.64478808082751582</v>
      </c>
      <c r="O205" s="270">
        <f>SUM(O59:O66)</f>
        <v>0.65144230769230771</v>
      </c>
      <c r="P205" s="270"/>
      <c r="Q205" s="270">
        <f>SUM(Q59:Q66)</f>
        <v>0.46825793135590399</v>
      </c>
      <c r="R205" s="270">
        <f>SUM(R59:R66)</f>
        <v>0.47768395657418578</v>
      </c>
      <c r="S205" s="270"/>
      <c r="T205" s="270">
        <f>SUM(T59:T66)</f>
        <v>0.56194097567298962</v>
      </c>
      <c r="U205" s="270">
        <f>SUM(U59:U66)</f>
        <v>0.55282051282051281</v>
      </c>
      <c r="V205" s="270"/>
      <c r="W205" s="270">
        <f>SUM(W59:W66)</f>
        <v>0.47329146143354789</v>
      </c>
      <c r="X205" s="270">
        <f>SUM(X59:X66)</f>
        <v>0.4449612403100775</v>
      </c>
      <c r="Y205" s="270"/>
      <c r="Z205" s="270">
        <f>SUM(Z59:Z66)</f>
        <v>0.59576494521244627</v>
      </c>
      <c r="AA205" s="270">
        <f>SUM(AA59:AA66)</f>
        <v>0.59166666666666667</v>
      </c>
      <c r="AB205" s="270"/>
      <c r="AC205" s="270">
        <f>SUM(AC59:AC66)</f>
        <v>0.48753034650187599</v>
      </c>
      <c r="AD205" s="270">
        <f>SUM(AD59:AD66)</f>
        <v>0.49814126394052044</v>
      </c>
      <c r="AE205" s="270"/>
      <c r="AF205" s="270">
        <f>SUM(AF59:AF66)</f>
        <v>0.4135840365301201</v>
      </c>
      <c r="AG205" s="270">
        <f>SUM(AG59:AG66)</f>
        <v>0.41901408450704225</v>
      </c>
      <c r="AH205" s="270"/>
      <c r="AI205" s="270">
        <f>SUM(AI59:AI66)</f>
        <v>0.59889109664830398</v>
      </c>
      <c r="AJ205" s="270">
        <f>SUM(AJ59:AJ66)</f>
        <v>0.59377700950734658</v>
      </c>
      <c r="AK205" s="270"/>
      <c r="AL205" s="391">
        <f>SUM(AL59:AL66)</f>
        <v>0.30748718603797087</v>
      </c>
      <c r="AM205" s="391">
        <f>SUM(AM59:AM66)</f>
        <v>0.31764705882352934</v>
      </c>
      <c r="AN205" s="270"/>
      <c r="AO205" s="270">
        <f>SUM(AO59:AO66)</f>
        <v>0.53675129774515762</v>
      </c>
      <c r="AP205" s="270">
        <f>SUM(AP59:AP66)</f>
        <v>0.53201634877384196</v>
      </c>
      <c r="AQ205" s="335"/>
      <c r="AR205" s="270">
        <f>SUM(AR59:AR66)</f>
        <v>0.58775909587709707</v>
      </c>
      <c r="AS205" s="270">
        <f>SUM(AS59:AS66)</f>
        <v>0.57050452781371286</v>
      </c>
      <c r="AT205" s="335"/>
      <c r="AU205" s="270">
        <f>SUM(AU59:AU66)</f>
        <v>0.60962792157301515</v>
      </c>
      <c r="AV205" s="270">
        <f>SUM(AV59:AV66)</f>
        <v>0.64203060843598359</v>
      </c>
      <c r="AW205" s="335"/>
      <c r="AX205" s="270">
        <f>SUM(AX59:AX66)</f>
        <v>0.54152426017312394</v>
      </c>
      <c r="AY205" s="270">
        <f>SUM(AY59:AY66)</f>
        <v>0.53706754530477763</v>
      </c>
      <c r="AZ205" s="335"/>
      <c r="BA205" s="270">
        <f>SUM(BA59:BA66)</f>
        <v>0.63358536168860957</v>
      </c>
      <c r="BB205" s="270">
        <f>SUM(BB59:BB66)</f>
        <v>0.61998766193707588</v>
      </c>
      <c r="BC205" s="335"/>
      <c r="BD205" s="270">
        <f>SUM(BD59:BD66)</f>
        <v>0.61940849042475277</v>
      </c>
      <c r="BE205" s="270">
        <f>SUM(BE59:BE66)</f>
        <v>0.60621468926553668</v>
      </c>
      <c r="BF205" s="335"/>
      <c r="BG205" s="313">
        <f t="shared" ref="BG205:BG206" si="917">AVERAGE(B205,E205,H205,K205,N205,Q205,T205,W205,Z205,AC205,AI205,AO205,AR205,AU205,AX205,BA205)</f>
        <v>0.53472992973418454</v>
      </c>
      <c r="BH205" s="313">
        <f t="shared" ref="BH205:BH206" si="918">AVERAGE(C205,F205,I205,L205,O205,R205,U205,X205,AA205,AD205,AJ205,AP205,AS205,AV205,AY205,BB205)</f>
        <v>0.53215082446996242</v>
      </c>
      <c r="BI205" s="313"/>
      <c r="BJ205" s="334" t="s">
        <v>369</v>
      </c>
      <c r="BK205" s="334"/>
      <c r="BL205" s="334"/>
    </row>
    <row r="206" spans="1:163" hidden="1" outlineLevel="1" x14ac:dyDescent="0.25">
      <c r="A206" s="284" t="s">
        <v>399</v>
      </c>
      <c r="B206" s="269">
        <f>SUM(B67:B79)</f>
        <v>0.57207474536851399</v>
      </c>
      <c r="C206" s="269">
        <f>SUM(C67:C79)</f>
        <v>0.60806916426512969</v>
      </c>
      <c r="D206" s="339"/>
      <c r="E206" s="269">
        <f>SUM(E67:E79)</f>
        <v>0.57362288445879051</v>
      </c>
      <c r="F206" s="269">
        <f>SUM(F67:F79)</f>
        <v>0.59259259259259256</v>
      </c>
      <c r="G206" s="339"/>
      <c r="H206" s="269">
        <f>SUM(H67:H79)</f>
        <v>0.52467379177648066</v>
      </c>
      <c r="I206" s="269">
        <f>SUM(I67:I79)</f>
        <v>0.50607902735562305</v>
      </c>
      <c r="J206" s="269"/>
      <c r="K206" s="269">
        <f>SUM(K67:K79)</f>
        <v>0.51366247735884696</v>
      </c>
      <c r="L206" s="269">
        <f>SUM(L67:L79)</f>
        <v>0.49094567404426559</v>
      </c>
      <c r="M206" s="269"/>
      <c r="N206" s="269">
        <f>SUM(N67:N79)</f>
        <v>0.35521191917248418</v>
      </c>
      <c r="O206" s="269">
        <f>SUM(O67:O79)</f>
        <v>0.34855769230769229</v>
      </c>
      <c r="P206" s="269"/>
      <c r="Q206" s="269">
        <f>SUM(Q67:Q79)</f>
        <v>0.53174206864409601</v>
      </c>
      <c r="R206" s="269">
        <f>SUM(R67:R79)</f>
        <v>0.52231604342581428</v>
      </c>
      <c r="S206" s="269"/>
      <c r="T206" s="269">
        <f>SUM(T67:T79)</f>
        <v>0.43805902432701038</v>
      </c>
      <c r="U206" s="269">
        <f>SUM(U67:U79)</f>
        <v>0.44717948717948719</v>
      </c>
      <c r="V206" s="269"/>
      <c r="W206" s="269">
        <f>SUM(W67:W79)</f>
        <v>0.52670853856645206</v>
      </c>
      <c r="X206" s="269">
        <f>SUM(X67:X79)</f>
        <v>0.55503875968992245</v>
      </c>
      <c r="Y206" s="269"/>
      <c r="Z206" s="269">
        <f>SUM(Z67:Z79)</f>
        <v>0.40423505478755373</v>
      </c>
      <c r="AA206" s="269">
        <f>SUM(AA67:AA79)</f>
        <v>0.40833333333333333</v>
      </c>
      <c r="AB206" s="269"/>
      <c r="AC206" s="269">
        <f>SUM(AC67:AC79)</f>
        <v>0.51246965349812401</v>
      </c>
      <c r="AD206" s="269">
        <f>SUM(AD67:AD79)</f>
        <v>0.5018587360594795</v>
      </c>
      <c r="AE206" s="269"/>
      <c r="AF206" s="269">
        <f>SUM(AF67:AF79)</f>
        <v>0.5864159634698799</v>
      </c>
      <c r="AG206" s="269">
        <f>SUM(AG67:AG79)</f>
        <v>0.58098591549295775</v>
      </c>
      <c r="AH206" s="269"/>
      <c r="AI206" s="269">
        <f>SUM(AI67:AI79)</f>
        <v>0.40110890335169602</v>
      </c>
      <c r="AJ206" s="269">
        <f>SUM(AJ67:AJ79)</f>
        <v>0.40622299049265342</v>
      </c>
      <c r="AK206" s="269"/>
      <c r="AL206" s="392">
        <f>SUM(AL67:AL79)</f>
        <v>0.46729046577354816</v>
      </c>
      <c r="AM206" s="392">
        <f>SUM(AM67:AM79)</f>
        <v>0.4494117647058824</v>
      </c>
      <c r="AN206" s="269"/>
      <c r="AO206" s="269">
        <f>SUM(AO67:AO79)</f>
        <v>0.46324870225484238</v>
      </c>
      <c r="AP206" s="269">
        <f>SUM(AP67:AP79)</f>
        <v>0.46798365122615804</v>
      </c>
      <c r="AQ206" s="350"/>
      <c r="AR206" s="269">
        <f>SUM(AR67:AR79)</f>
        <v>0.41224090412290293</v>
      </c>
      <c r="AS206" s="269">
        <f>SUM(AS67:AS79)</f>
        <v>0.42949547218628714</v>
      </c>
      <c r="AT206" s="350"/>
      <c r="AU206" s="269">
        <f>SUM(AU67:AU79)</f>
        <v>0.39037207842698485</v>
      </c>
      <c r="AV206" s="269">
        <f>SUM(AV67:AV79)</f>
        <v>0.35796939156401641</v>
      </c>
      <c r="AW206" s="350"/>
      <c r="AX206" s="269">
        <f>SUM(AX67:AX79)</f>
        <v>0.45847573982687606</v>
      </c>
      <c r="AY206" s="269">
        <f>SUM(AY67:AY79)</f>
        <v>0.46293245469522237</v>
      </c>
      <c r="AZ206" s="350"/>
      <c r="BA206" s="269">
        <f>SUM(BA67:BA79)</f>
        <v>0.36641463831139043</v>
      </c>
      <c r="BB206" s="269">
        <f>SUM(BB67:BB79)</f>
        <v>0.38001233806292412</v>
      </c>
      <c r="BC206" s="350"/>
      <c r="BD206" s="269">
        <f>SUM(BD67:BD79)</f>
        <v>0.38059150957524723</v>
      </c>
      <c r="BE206" s="269">
        <f>SUM(BE67:BE79)</f>
        <v>0.39378531073446332</v>
      </c>
      <c r="BF206" s="350"/>
      <c r="BG206" s="313">
        <f t="shared" si="917"/>
        <v>0.46527007026581541</v>
      </c>
      <c r="BH206" s="313">
        <f t="shared" si="918"/>
        <v>0.46784917553003752</v>
      </c>
      <c r="BI206" s="313"/>
      <c r="BJ206" s="334" t="s">
        <v>370</v>
      </c>
      <c r="BK206" s="334"/>
      <c r="BL206" s="334"/>
    </row>
    <row r="207" spans="1:163" collapsed="1" x14ac:dyDescent="0.25"/>
  </sheetData>
  <sheetProtection algorithmName="SHA-512" hashValue="eI0jKA8WntT2m1wRb8lPPmOSaBSPGWaOWrJWoCl9tRRCICTW8WNDIvtduATyA+186NVAqRxg54aBDc9gXH95lg==" saltValue="O4PgWM5Udp71uoisTQkUFQ==" spinCount="100000" sheet="1" objects="1" scenarios="1"/>
  <mergeCells count="259">
    <mergeCell ref="EL9:EM9"/>
    <mergeCell ref="DX9:DY9"/>
    <mergeCell ref="FD8:FE8"/>
    <mergeCell ref="FD9:FE9"/>
    <mergeCell ref="AX167:AY167"/>
    <mergeCell ref="AX172:AY172"/>
    <mergeCell ref="AX177:AY177"/>
    <mergeCell ref="AX182:AY182"/>
    <mergeCell ref="EX8:EY8"/>
    <mergeCell ref="EX9:EY9"/>
    <mergeCell ref="ET8:EU8"/>
    <mergeCell ref="EP9:EQ9"/>
    <mergeCell ref="ER9:ES9"/>
    <mergeCell ref="AX187:AY187"/>
    <mergeCell ref="BD172:BE172"/>
    <mergeCell ref="BD177:BE177"/>
    <mergeCell ref="BD182:BE182"/>
    <mergeCell ref="BG58:BJ58"/>
    <mergeCell ref="BG82:BJ82"/>
    <mergeCell ref="EH9:EI9"/>
    <mergeCell ref="ED8:EE8"/>
    <mergeCell ref="EJ8:EK8"/>
    <mergeCell ref="EJ9:EK9"/>
    <mergeCell ref="DN8:DO8"/>
    <mergeCell ref="BA172:BB172"/>
    <mergeCell ref="BX8:BZ8"/>
    <mergeCell ref="BR8:BT8"/>
    <mergeCell ref="EB8:EC8"/>
    <mergeCell ref="DP8:DQ8"/>
    <mergeCell ref="CV8:CW8"/>
    <mergeCell ref="EF8:EG8"/>
    <mergeCell ref="BA167:BB167"/>
    <mergeCell ref="ET1:EU1"/>
    <mergeCell ref="EF1:EG1"/>
    <mergeCell ref="ER1:ES1"/>
    <mergeCell ref="DX1:DY1"/>
    <mergeCell ref="ED1:EE1"/>
    <mergeCell ref="ET9:EU9"/>
    <mergeCell ref="EL1:EM1"/>
    <mergeCell ref="EP1:EQ1"/>
    <mergeCell ref="DH2:DI2"/>
    <mergeCell ref="DJ1:DK1"/>
    <mergeCell ref="DJ7:DK7"/>
    <mergeCell ref="DR7:DS7"/>
    <mergeCell ref="DH8:DI8"/>
    <mergeCell ref="EL8:EM8"/>
    <mergeCell ref="EN8:EO8"/>
    <mergeCell ref="EP8:EQ8"/>
    <mergeCell ref="ER8:ES8"/>
    <mergeCell ref="DZ9:EA9"/>
    <mergeCell ref="EB9:EC9"/>
    <mergeCell ref="ED9:EE9"/>
    <mergeCell ref="EF9:EG9"/>
    <mergeCell ref="EH8:EI8"/>
    <mergeCell ref="DX8:DY8"/>
    <mergeCell ref="DZ8:EA8"/>
    <mergeCell ref="CH2:CI2"/>
    <mergeCell ref="DL7:DM7"/>
    <mergeCell ref="DL8:DM8"/>
    <mergeCell ref="DL2:DM2"/>
    <mergeCell ref="EZ8:FA8"/>
    <mergeCell ref="EZ9:FA9"/>
    <mergeCell ref="AO197:AP197"/>
    <mergeCell ref="AR32:AS32"/>
    <mergeCell ref="AR57:AS57"/>
    <mergeCell ref="AR81:AS81"/>
    <mergeCell ref="AR3:AS3"/>
    <mergeCell ref="AR113:AS113"/>
    <mergeCell ref="AR136:AS136"/>
    <mergeCell ref="AR162:AT162"/>
    <mergeCell ref="AR167:AS167"/>
    <mergeCell ref="AR172:AS172"/>
    <mergeCell ref="BG33:BJ33"/>
    <mergeCell ref="AR177:AS177"/>
    <mergeCell ref="AR182:AS182"/>
    <mergeCell ref="AR187:AS187"/>
    <mergeCell ref="DF7:DG7"/>
    <mergeCell ref="DH7:DI7"/>
    <mergeCell ref="DP7:DQ7"/>
    <mergeCell ref="BG183:BJ183"/>
    <mergeCell ref="B7:D7"/>
    <mergeCell ref="N162:P162"/>
    <mergeCell ref="AO3:AP3"/>
    <mergeCell ref="DD8:DE8"/>
    <mergeCell ref="CN8:CO8"/>
    <mergeCell ref="CP8:CQ8"/>
    <mergeCell ref="CR8:CS8"/>
    <mergeCell ref="AO7:AQ7"/>
    <mergeCell ref="BD7:BF7"/>
    <mergeCell ref="AR7:AT7"/>
    <mergeCell ref="AU3:AV3"/>
    <mergeCell ref="AX7:AZ7"/>
    <mergeCell ref="CT7:CU7"/>
    <mergeCell ref="CZ7:DA7"/>
    <mergeCell ref="DB7:DC7"/>
    <mergeCell ref="DD7:DE7"/>
    <mergeCell ref="AX32:AY32"/>
    <mergeCell ref="AX57:AY57"/>
    <mergeCell ref="AX81:AY81"/>
    <mergeCell ref="AU32:AV32"/>
    <mergeCell ref="AC7:AE7"/>
    <mergeCell ref="AF7:AH7"/>
    <mergeCell ref="AI7:AK7"/>
    <mergeCell ref="AL113:AN113"/>
    <mergeCell ref="AC106:AD106"/>
    <mergeCell ref="B164:C164"/>
    <mergeCell ref="E110:F110"/>
    <mergeCell ref="Q110:R110"/>
    <mergeCell ref="AC108:AD108"/>
    <mergeCell ref="W108:X108"/>
    <mergeCell ref="H108:I108"/>
    <mergeCell ref="T110:U110"/>
    <mergeCell ref="AI162:AK162"/>
    <mergeCell ref="N108:O108"/>
    <mergeCell ref="T108:U108"/>
    <mergeCell ref="AI108:AJ108"/>
    <mergeCell ref="E108:F108"/>
    <mergeCell ref="H110:I110"/>
    <mergeCell ref="AC112:AD112"/>
    <mergeCell ref="N112:O112"/>
    <mergeCell ref="Z164:AA164"/>
    <mergeCell ref="AF162:AH162"/>
    <mergeCell ref="AF2:AH2"/>
    <mergeCell ref="E7:G7"/>
    <mergeCell ref="H7:J7"/>
    <mergeCell ref="K7:M7"/>
    <mergeCell ref="T106:U106"/>
    <mergeCell ref="W106:X106"/>
    <mergeCell ref="N110:O110"/>
    <mergeCell ref="Z7:AB7"/>
    <mergeCell ref="AO162:AQ162"/>
    <mergeCell ref="E106:F106"/>
    <mergeCell ref="H106:I106"/>
    <mergeCell ref="N106:O106"/>
    <mergeCell ref="AL136:AN136"/>
    <mergeCell ref="AI106:AJ106"/>
    <mergeCell ref="AL32:AN32"/>
    <mergeCell ref="AL57:AN57"/>
    <mergeCell ref="AL106:AM106"/>
    <mergeCell ref="AL108:AM108"/>
    <mergeCell ref="AL162:AN162"/>
    <mergeCell ref="AO32:AP32"/>
    <mergeCell ref="AO57:AP57"/>
    <mergeCell ref="AO81:AP81"/>
    <mergeCell ref="AO113:AP113"/>
    <mergeCell ref="AL81:AN81"/>
    <mergeCell ref="N7:P7"/>
    <mergeCell ref="Q7:S7"/>
    <mergeCell ref="T7:V7"/>
    <mergeCell ref="W7:Y7"/>
    <mergeCell ref="DT7:DU7"/>
    <mergeCell ref="DT8:DU8"/>
    <mergeCell ref="DV7:DW7"/>
    <mergeCell ref="DV8:DW8"/>
    <mergeCell ref="CF7:CM7"/>
    <mergeCell ref="CN7:CO7"/>
    <mergeCell ref="CP7:CQ7"/>
    <mergeCell ref="CR7:CS7"/>
    <mergeCell ref="DN7:DO7"/>
    <mergeCell ref="CL8:CM8"/>
    <mergeCell ref="AU7:AW7"/>
    <mergeCell ref="DJ8:DK8"/>
    <mergeCell ref="BA7:BC7"/>
    <mergeCell ref="AL203:AN203"/>
    <mergeCell ref="AO203:AP203"/>
    <mergeCell ref="AR203:AS203"/>
    <mergeCell ref="BD203:BE203"/>
    <mergeCell ref="BD192:BE192"/>
    <mergeCell ref="BD197:BE197"/>
    <mergeCell ref="AO187:AP187"/>
    <mergeCell ref="AO192:AP192"/>
    <mergeCell ref="BG193:BJ193"/>
    <mergeCell ref="BG198:BJ198"/>
    <mergeCell ref="AL187:AN187"/>
    <mergeCell ref="AL192:AN192"/>
    <mergeCell ref="AL197:AN197"/>
    <mergeCell ref="BD187:BE187"/>
    <mergeCell ref="AU187:AV187"/>
    <mergeCell ref="AU192:AV192"/>
    <mergeCell ref="AX203:AY203"/>
    <mergeCell ref="AX197:AY197"/>
    <mergeCell ref="AU197:AV197"/>
    <mergeCell ref="AR192:AS192"/>
    <mergeCell ref="AR197:AS197"/>
    <mergeCell ref="AX192:AY192"/>
    <mergeCell ref="BG188:BJ188"/>
    <mergeCell ref="BA187:BB187"/>
    <mergeCell ref="AO167:AP167"/>
    <mergeCell ref="AO172:AP172"/>
    <mergeCell ref="AO177:AP177"/>
    <mergeCell ref="AO182:AP182"/>
    <mergeCell ref="AU136:AV136"/>
    <mergeCell ref="AO136:AP136"/>
    <mergeCell ref="CA8:CC8"/>
    <mergeCell ref="AU203:AV203"/>
    <mergeCell ref="BG204:BJ204"/>
    <mergeCell ref="BG114:BO114"/>
    <mergeCell ref="BG137:BO137"/>
    <mergeCell ref="BD32:BE32"/>
    <mergeCell ref="BD57:BE57"/>
    <mergeCell ref="BD81:BE81"/>
    <mergeCell ref="BD113:BE113"/>
    <mergeCell ref="BA177:BB177"/>
    <mergeCell ref="BA182:BB182"/>
    <mergeCell ref="BA192:BB192"/>
    <mergeCell ref="BA197:BB197"/>
    <mergeCell ref="BA203:BB203"/>
    <mergeCell ref="BA32:BB32"/>
    <mergeCell ref="BA57:BB57"/>
    <mergeCell ref="BA81:BB81"/>
    <mergeCell ref="BA162:BC162"/>
    <mergeCell ref="CV1:CW1"/>
    <mergeCell ref="CV2:CW2"/>
    <mergeCell ref="AX113:AY113"/>
    <mergeCell ref="AL167:AN167"/>
    <mergeCell ref="AL172:AN172"/>
    <mergeCell ref="AL177:AN177"/>
    <mergeCell ref="AL182:AN182"/>
    <mergeCell ref="AU182:AV182"/>
    <mergeCell ref="BG4:BJ4"/>
    <mergeCell ref="AL3:AN3"/>
    <mergeCell ref="AL7:AN7"/>
    <mergeCell ref="CT8:CU8"/>
    <mergeCell ref="CF8:CG8"/>
    <mergeCell ref="AU57:AV57"/>
    <mergeCell ref="AL2:AN2"/>
    <mergeCell ref="BG168:BJ168"/>
    <mergeCell ref="BG173:BJ173"/>
    <mergeCell ref="BG178:BJ178"/>
    <mergeCell ref="CR1:CS1"/>
    <mergeCell ref="CR2:CS2"/>
    <mergeCell ref="CN1:CO1"/>
    <mergeCell ref="CN2:CO2"/>
    <mergeCell ref="AU81:AV81"/>
    <mergeCell ref="AU113:AV113"/>
    <mergeCell ref="FF8:FG8"/>
    <mergeCell ref="FF9:FG9"/>
    <mergeCell ref="FB1:FC1"/>
    <mergeCell ref="FB8:FC8"/>
    <mergeCell ref="FB9:FC9"/>
    <mergeCell ref="AU162:AW162"/>
    <mergeCell ref="AU167:AV167"/>
    <mergeCell ref="AU172:AV172"/>
    <mergeCell ref="AU177:AV177"/>
    <mergeCell ref="DH1:DI1"/>
    <mergeCell ref="EV1:EW1"/>
    <mergeCell ref="EV8:EW8"/>
    <mergeCell ref="EV9:EW9"/>
    <mergeCell ref="CX8:CY8"/>
    <mergeCell ref="CZ8:DA8"/>
    <mergeCell ref="DB8:DC8"/>
    <mergeCell ref="CV7:CW7"/>
    <mergeCell ref="CX7:CY7"/>
    <mergeCell ref="DR8:DS8"/>
    <mergeCell ref="DF8:DG8"/>
    <mergeCell ref="EN9:EO9"/>
    <mergeCell ref="CH8:CI8"/>
    <mergeCell ref="CJ8:CK8"/>
    <mergeCell ref="BU8:BW8"/>
  </mergeCells>
  <phoneticPr fontId="5" type="noConversion"/>
  <conditionalFormatting sqref="B5 E5 H5 K5 N5 Q5 T5 W5 Z5 AC5 AF5 AI5 AO5 AR5 BG5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:C55 E34:F55 H34:BH55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:C79 E59:F79 H59:BH79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3:C103 E83:F103 H83:BH103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7:C107 E107:F107 H107:BI107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9:C171 E169:F171 H171:AN171 H169:AK170 AN169:AN170 AO169:BH171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4:C176 E174:F176 H176:AN176 H174:AK175 AN174:AN175 AO174:BH176"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:C181 E179:F181 H181:AN181 H179:AK180 AN179:AN180 AO179:BH181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4:C186 E184:F186 H186:AN186 H184:AK185 AN184:AN185 AO184:BH186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9:C191 E189:F191 H191:AN191 H189:AK190 AN189:AN190 AO189:BH191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:C196 E194:F196 H194:BH196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9:C202 E199:F202 H201:AN202 H199:AK200 AN199:AN200 B205:C206 E205:F206 H205:AK206 AO199:BH202 AN205:BH206">
    <cfRule type="colorScale" priority="12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9:BH109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5:BI105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1:BI111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 F5 I5 L5 O5 R5 U5 X5 AA5 AD5 AG5 AJ5 AP5 AS5 BH5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30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5:E135 B115:B135 H115:H135 K115:K135 N115:N135 Q115:Q135 T115:T135 W115:W135 Z115:Z135 AC115:AC135 AF115:AF135 BG115:BG135 AI115:AI135 BD115:BD135"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60 B160 H160 K160 N160 Q160 T160 W160 Z160 AC160 AF160 BG160 BJ160 BM160">
    <cfRule type="colorScale" priority="15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61 B161 H161 K161 N161 Q161 T161 W161 Z161 AC161 AF161 BG161 BJ161 BM161">
    <cfRule type="colorScale" priority="1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3 B163 H163 K163 N163 Q163 T163 W163 Z163 AC163 AF163 BG163 BJ163 BM163">
    <cfRule type="colorScale" priority="1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5:F135 C115:C135 I115:I135 L115:L135 O115:O135 R115:R135 U115:U135 X115:X135 AA115:AA135 AD115:AD135 AG115:AG135 BH115:BH135 BE115:BE135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0:G30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0 G160 J160 M160 P160 S160 V160 Y160 AB160 AE160 AH160 BI160 BL160 BO160 AK160">
    <cfRule type="colorScale" priority="145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D163 G163 J163 M163 P163 S163 V163 Y163 AB163 AE163 AH163 BI163 BL163 BO163 AK163">
    <cfRule type="colorScale" priority="147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J10:J30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0:M30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59:O159 Q159">
    <cfRule type="colorScale" priority="157">
      <colorScale>
        <cfvo type="min"/>
        <cfvo type="num" val="0"/>
        <cfvo type="max"/>
        <color rgb="FFF8696B"/>
        <color rgb="FFFFEB84"/>
        <color rgb="FF63BE7B"/>
      </colorScale>
    </cfRule>
  </conditionalFormatting>
  <conditionalFormatting sqref="P10:P30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0:S30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0:V30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0:Y30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10:AB30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10:AE30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0:AH30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15:AI135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0:AK30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0:AN30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38:AN158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60:AN161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63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115:AO135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115:AP135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10:AQ30 AT10:AT30 AW10:AW30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138:AQ158 AT138:AT158 AW138:AW158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160 AT160 AW160">
    <cfRule type="colorScale" priority="34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AQ161 AT161 AW161">
    <cfRule type="colorScale" priority="35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AT163 AQ163 AW163">
    <cfRule type="colorScale" priority="37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AR115:AR135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115:AS135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5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15:AU135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5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115:AV135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X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X115:AX135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Y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Y115:AY13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Z10:AZ3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Z138:AZ15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Z160">
    <cfRule type="colorScale" priority="11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AZ161">
    <cfRule type="colorScale" priority="12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BA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A115:BA13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B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B115:BB13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C10:BC3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C138:BC15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C160">
    <cfRule type="colorScale" priority="4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BC161">
    <cfRule type="colorScale" priority="5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BC163">
    <cfRule type="colorScale" priority="7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BF10:BF30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G138:BG159 BJ138:BJ159 BM138:BM159 N138:N158 B138:B159 E138:E159 H138:H159 K138:K159 Q138:Q158 T138:T159 W138:W159 Z138:Z159 AC138:AC159 AF138:AF159">
    <cfRule type="colorScale" priority="159">
      <colorScale>
        <cfvo type="min"/>
        <cfvo type="num" val="0"/>
        <cfvo type="max"/>
        <color rgb="FFF8696B"/>
        <color rgb="FFFFEB84"/>
        <color rgb="FF63BE7B"/>
      </colorScale>
    </cfRule>
  </conditionalFormatting>
  <conditionalFormatting sqref="BH138:BH159 BK138:BK159 BN138:BN159 O138:O158 C138:C159 F138:F159 I138:I159 L138:L159 R138:R159 U138:U159 X138:X159 AA138:AA159 AD138:AD159 AG138:AG159">
    <cfRule type="colorScale" priority="158">
      <colorScale>
        <cfvo type="min"/>
        <cfvo type="num" val="0"/>
        <cfvo type="max"/>
        <color rgb="FFF8696B"/>
        <color rgb="FFFFEB84"/>
        <color rgb="FF63BE7B"/>
      </colorScale>
    </cfRule>
  </conditionalFormatting>
  <conditionalFormatting sqref="BI138:BI158 BL138:BL158 BO138:BO158 G138:G158 D138:D158 J138:J158 M138:M158 P138:P158 S138:S158 V138:V158 Y138:Y158 AB138:AB158 AE138:AE158 AH138:AH158 AK138:AK158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N160 BK160 BH160 AG160 AD160 AA160 X160 U160 R160 O160 L160 I160 F160 C160"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N161 BK161 BH161 AG161 AD161 AA161 X161 U161 R161 O161 L161 I161 F161 C161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K163 BN163 BH163 AG163 AD163 AA163 X163 U163 R163 O163 L163 I163 F163 C163"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161 BO161 BI161 AH161 AE161 AB161 Y161 V161 S161 P161 M161 J161 G161 D161 AK161">
    <cfRule type="colorScale" priority="146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BM115:BM135 BJ115:BJ135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N115:BN135 BK115:BK135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O115:BO135 BL115:BL135 BI115:BI135 AH115:AH135 AE115:AE135 AB115:AB135 Y115:Y135 V115:V135 S115:S135 P115:P135 M115:M135 J115:J135 G115:G135 D115:D135 AK115:AK135 AQ115:AQ135 AN115:AN135 AT115:AT135 AW115:AW135 AZ115:AZ135 BF115:BF135 BC115:BC135"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R32:BR33 BU32:BU33 CA32:CA33 BX32:BX33 BR10:BR30 BU10:BU30 BX10:BX30 CA10:CA30">
    <cfRule type="colorScale" priority="1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S32:BS33 BV32:BV33 CB32:CB33 BY32:BY33 BS10:BS30 BV10:BV30 BY10:BY30 CB10:CB30">
    <cfRule type="colorScale" priority="1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C32:CC33 BT32:BT33 BW32:BW33 BZ32:BZ33 BW10:BW30 BT10:BT30 BZ10:BZ30 CC10:CC30">
    <cfRule type="colorScale" priority="12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F10:CK30">
    <cfRule type="colorScale" priority="1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F35:DS35 CF36:DW54">
    <cfRule type="colorScale" priority="12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F31:DW31">
    <cfRule type="colorScale" priority="12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F55:DW55">
    <cfRule type="colorScale" priority="12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F56:DW56">
    <cfRule type="colorScale" priority="12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L10:CM30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N10:DW30">
    <cfRule type="colorScale" priority="12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Y10:FC30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Y32:FG32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D11:FE30 FD10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F11:FG30 FF1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ignoredErrors>
    <ignoredError sqref="BJ113 F113 H113:I113 K113:L113 N113:O113 Q113:R113 T113:U113 W113:X113 Z113:AA113 AC113:AD113 AF113:AG113 BG113:BH113" formula="1"/>
  </ignoredError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Übersicht &amp; Anleitung</vt:lpstr>
      <vt:lpstr>Einkaufsführer</vt:lpstr>
      <vt:lpstr>Changelog &amp; Videos</vt:lpstr>
      <vt:lpstr>Vergleich</vt:lpstr>
      <vt:lpstr>'Changelog &amp; Videos'!Druckbereich</vt:lpstr>
      <vt:lpstr>Einkaufsführer!Druckbereich</vt:lpstr>
      <vt:lpstr>'Übersicht &amp; Anleitung'!Druckbereich</vt:lpstr>
      <vt:lpstr>Einkaufsführer!Drucktitel</vt:lpstr>
      <vt:lpstr>'Übersicht &amp; Anleitung'!Drucktitel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</dc:creator>
  <cp:lastModifiedBy>Gernot Ohrner</cp:lastModifiedBy>
  <cp:lastPrinted>2026-06-21T17:59:18Z</cp:lastPrinted>
  <dcterms:created xsi:type="dcterms:W3CDTF">2021-01-19T21:15:58Z</dcterms:created>
  <dcterms:modified xsi:type="dcterms:W3CDTF">2026-07-07T19:15:44Z</dcterms:modified>
</cp:coreProperties>
</file>