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SA\CFs\Mosaik der Märchen\"/>
    </mc:Choice>
  </mc:AlternateContent>
  <xr:revisionPtr revIDLastSave="0" documentId="13_ncr:1_{F3938F51-8410-4347-9A08-8797942611AD}" xr6:coauthVersionLast="47" xr6:coauthVersionMax="47" xr10:uidLastSave="{00000000-0000-0000-0000-000000000000}"/>
  <bookViews>
    <workbookView xWindow="2595" yWindow="-120" windowWidth="35925" windowHeight="21840" xr2:uid="{3C0DC3EB-12BA-4DE2-BE53-BC5B92B614A4}"/>
  </bookViews>
  <sheets>
    <sheet name="Übersicht &amp; Anleitung" sheetId="4" r:id="rId1"/>
    <sheet name="CF-Guide" sheetId="1" r:id="rId2"/>
    <sheet name="Vergleich" sheetId="2" state="hidden" r:id="rId3"/>
  </sheets>
  <definedNames>
    <definedName name="_xlnm.Print_Area" localSheetId="1">'CF-Guide'!$A$1:$S$93</definedName>
    <definedName name="_xlnm.Print_Area" localSheetId="0">'Übersicht &amp; Anleitung'!$A$1:$T$117</definedName>
    <definedName name="_xlnm.Print_Titles" localSheetId="1">'CF-Guide'!$1:$6</definedName>
    <definedName name="_xlnm.Print_Titles" localSheetId="0">'Übersicht &amp; Anleitung'!$1:$24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1" i="4" l="1"/>
  <c r="BC71" i="4" s="1"/>
  <c r="AS71" i="4"/>
  <c r="AM25" i="2"/>
  <c r="AN25" i="2"/>
  <c r="B20" i="4"/>
  <c r="AZ71" i="4"/>
  <c r="BA71" i="4"/>
  <c r="BB71" i="4"/>
  <c r="AU71" i="4"/>
  <c r="N211" i="2"/>
  <c r="AL210" i="2"/>
  <c r="AI210" i="2"/>
  <c r="AF210" i="2"/>
  <c r="AC210" i="2"/>
  <c r="Z210" i="2"/>
  <c r="W210" i="2"/>
  <c r="T210" i="2"/>
  <c r="Q210" i="2"/>
  <c r="N210" i="2"/>
  <c r="K210" i="2"/>
  <c r="D210" i="2"/>
  <c r="AM201" i="2"/>
  <c r="AM202" i="2"/>
  <c r="AM203" i="2"/>
  <c r="AM204" i="2"/>
  <c r="AM205" i="2"/>
  <c r="AM206" i="2"/>
  <c r="AO206" i="2" s="1"/>
  <c r="AM207" i="2"/>
  <c r="AM208" i="2"/>
  <c r="AM200" i="2"/>
  <c r="AO200" i="2" s="1"/>
  <c r="AO207" i="2"/>
  <c r="AL207" i="2"/>
  <c r="AI207" i="2"/>
  <c r="AF207" i="2"/>
  <c r="AC207" i="2"/>
  <c r="Z207" i="2"/>
  <c r="W207" i="2"/>
  <c r="T207" i="2"/>
  <c r="Q207" i="2"/>
  <c r="N207" i="2"/>
  <c r="K207" i="2"/>
  <c r="D207" i="2"/>
  <c r="AJ209" i="2"/>
  <c r="AG209" i="2"/>
  <c r="AD209" i="2"/>
  <c r="AA209" i="2"/>
  <c r="X209" i="2"/>
  <c r="U209" i="2"/>
  <c r="R209" i="2"/>
  <c r="O209" i="2"/>
  <c r="L209" i="2"/>
  <c r="I209" i="2"/>
  <c r="AO208" i="2"/>
  <c r="AL208" i="2"/>
  <c r="AI208" i="2"/>
  <c r="AF208" i="2"/>
  <c r="AC208" i="2"/>
  <c r="Z208" i="2"/>
  <c r="W208" i="2"/>
  <c r="T208" i="2"/>
  <c r="Q208" i="2"/>
  <c r="N208" i="2"/>
  <c r="K208" i="2"/>
  <c r="AL206" i="2"/>
  <c r="AI206" i="2"/>
  <c r="AF206" i="2"/>
  <c r="AC206" i="2"/>
  <c r="Z206" i="2"/>
  <c r="W206" i="2"/>
  <c r="T206" i="2"/>
  <c r="Q206" i="2"/>
  <c r="N206" i="2"/>
  <c r="K206" i="2"/>
  <c r="AO205" i="2"/>
  <c r="AL205" i="2"/>
  <c r="AI205" i="2"/>
  <c r="AF205" i="2"/>
  <c r="AC205" i="2"/>
  <c r="Z205" i="2"/>
  <c r="W205" i="2"/>
  <c r="T205" i="2"/>
  <c r="Q205" i="2"/>
  <c r="N205" i="2"/>
  <c r="K205" i="2"/>
  <c r="AO204" i="2"/>
  <c r="AL204" i="2"/>
  <c r="AI204" i="2"/>
  <c r="AF204" i="2"/>
  <c r="AC204" i="2"/>
  <c r="Z204" i="2"/>
  <c r="W204" i="2"/>
  <c r="T204" i="2"/>
  <c r="Q204" i="2"/>
  <c r="N204" i="2"/>
  <c r="K204" i="2"/>
  <c r="AO203" i="2"/>
  <c r="AL203" i="2"/>
  <c r="AI203" i="2"/>
  <c r="AF203" i="2"/>
  <c r="AC203" i="2"/>
  <c r="Z203" i="2"/>
  <c r="W203" i="2"/>
  <c r="T203" i="2"/>
  <c r="Q203" i="2"/>
  <c r="N203" i="2"/>
  <c r="K203" i="2"/>
  <c r="AO202" i="2"/>
  <c r="AL202" i="2"/>
  <c r="AI202" i="2"/>
  <c r="AF202" i="2"/>
  <c r="AC202" i="2"/>
  <c r="Z202" i="2"/>
  <c r="W202" i="2"/>
  <c r="T202" i="2"/>
  <c r="Q202" i="2"/>
  <c r="N202" i="2"/>
  <c r="K202" i="2"/>
  <c r="AL201" i="2"/>
  <c r="AI201" i="2"/>
  <c r="AF201" i="2"/>
  <c r="AC201" i="2"/>
  <c r="Z201" i="2"/>
  <c r="W201" i="2"/>
  <c r="T201" i="2"/>
  <c r="Q201" i="2"/>
  <c r="N201" i="2"/>
  <c r="K201" i="2"/>
  <c r="AL200" i="2"/>
  <c r="AI200" i="2"/>
  <c r="AF200" i="2"/>
  <c r="AC200" i="2"/>
  <c r="Z200" i="2"/>
  <c r="W200" i="2"/>
  <c r="T200" i="2"/>
  <c r="Q200" i="2"/>
  <c r="N200" i="2"/>
  <c r="K200" i="2"/>
  <c r="B209" i="2"/>
  <c r="D201" i="2"/>
  <c r="D202" i="2"/>
  <c r="D203" i="2"/>
  <c r="D204" i="2"/>
  <c r="D205" i="2"/>
  <c r="D206" i="2"/>
  <c r="D208" i="2"/>
  <c r="D200" i="2"/>
  <c r="AM24" i="2"/>
  <c r="AN24" i="2"/>
  <c r="AZ70" i="4"/>
  <c r="BA70" i="4"/>
  <c r="BB70" i="4"/>
  <c r="BC70" i="4"/>
  <c r="AU70" i="4"/>
  <c r="AM23" i="2"/>
  <c r="AN23" i="2"/>
  <c r="BC69" i="4"/>
  <c r="BB69" i="4"/>
  <c r="BA69" i="4"/>
  <c r="AZ69" i="4"/>
  <c r="AU69" i="4"/>
  <c r="AM22" i="2"/>
  <c r="AN22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AZ68" i="4"/>
  <c r="BA68" i="4"/>
  <c r="BB68" i="4"/>
  <c r="BC68" i="4"/>
  <c r="AU68" i="4"/>
  <c r="AM21" i="2"/>
  <c r="AM125" i="2" s="1"/>
  <c r="AN21" i="2"/>
  <c r="AN125" i="2" s="1"/>
  <c r="AF209" i="2" l="1"/>
  <c r="AF211" i="2" s="1"/>
  <c r="AM209" i="2"/>
  <c r="D209" i="2"/>
  <c r="AO201" i="2"/>
  <c r="AO22" i="2"/>
  <c r="T209" i="2"/>
  <c r="T211" i="2" s="1"/>
  <c r="N209" i="2"/>
  <c r="AC209" i="2"/>
  <c r="AC211" i="2" s="1"/>
  <c r="Q209" i="2"/>
  <c r="Q211" i="2" s="1"/>
  <c r="Z209" i="2"/>
  <c r="Z211" i="2" s="1"/>
  <c r="K209" i="2"/>
  <c r="W209" i="2"/>
  <c r="W211" i="2" s="1"/>
  <c r="AI209" i="2"/>
  <c r="AI211" i="2" s="1"/>
  <c r="AL209" i="2"/>
  <c r="AL211" i="2" s="1"/>
  <c r="AO21" i="2"/>
  <c r="AO125" i="2"/>
  <c r="H129" i="2"/>
  <c r="G129" i="2"/>
  <c r="F129" i="2"/>
  <c r="E129" i="2"/>
  <c r="H128" i="2"/>
  <c r="G128" i="2"/>
  <c r="F128" i="2"/>
  <c r="E128" i="2"/>
  <c r="H127" i="2"/>
  <c r="G127" i="2"/>
  <c r="F127" i="2"/>
  <c r="E127" i="2"/>
  <c r="H126" i="2"/>
  <c r="G126" i="2"/>
  <c r="F126" i="2"/>
  <c r="E126" i="2"/>
  <c r="H125" i="2"/>
  <c r="H148" i="2" s="1"/>
  <c r="G125" i="2"/>
  <c r="G148" i="2" s="1"/>
  <c r="F125" i="2"/>
  <c r="F148" i="2" s="1"/>
  <c r="E125" i="2"/>
  <c r="E148" i="2" s="1"/>
  <c r="H124" i="2"/>
  <c r="G124" i="2"/>
  <c r="F124" i="2"/>
  <c r="E124" i="2"/>
  <c r="H123" i="2"/>
  <c r="G123" i="2"/>
  <c r="F123" i="2"/>
  <c r="E123" i="2"/>
  <c r="H122" i="2"/>
  <c r="G122" i="2"/>
  <c r="F122" i="2"/>
  <c r="E122" i="2"/>
  <c r="H121" i="2"/>
  <c r="G121" i="2"/>
  <c r="F121" i="2"/>
  <c r="E121" i="2"/>
  <c r="H120" i="2"/>
  <c r="G120" i="2"/>
  <c r="F120" i="2"/>
  <c r="E120" i="2"/>
  <c r="H119" i="2"/>
  <c r="G119" i="2"/>
  <c r="F119" i="2"/>
  <c r="E119" i="2"/>
  <c r="H118" i="2"/>
  <c r="G118" i="2"/>
  <c r="F118" i="2"/>
  <c r="E118" i="2"/>
  <c r="H117" i="2"/>
  <c r="G117" i="2"/>
  <c r="F117" i="2"/>
  <c r="E117" i="2"/>
  <c r="H116" i="2"/>
  <c r="G116" i="2"/>
  <c r="F116" i="2"/>
  <c r="E116" i="2"/>
  <c r="H115" i="2"/>
  <c r="G115" i="2"/>
  <c r="F115" i="2"/>
  <c r="E115" i="2"/>
  <c r="H114" i="2"/>
  <c r="G114" i="2"/>
  <c r="F114" i="2"/>
  <c r="E114" i="2"/>
  <c r="H113" i="2"/>
  <c r="G113" i="2"/>
  <c r="F113" i="2"/>
  <c r="E113" i="2"/>
  <c r="H112" i="2"/>
  <c r="G112" i="2"/>
  <c r="F112" i="2"/>
  <c r="E112" i="2"/>
  <c r="H111" i="2"/>
  <c r="G111" i="2"/>
  <c r="F111" i="2"/>
  <c r="E111" i="2"/>
  <c r="H110" i="2"/>
  <c r="G110" i="2"/>
  <c r="F110" i="2"/>
  <c r="E110" i="2"/>
  <c r="H109" i="2"/>
  <c r="G109" i="2"/>
  <c r="F109" i="2"/>
  <c r="E109" i="2"/>
  <c r="BC67" i="4"/>
  <c r="BB67" i="4"/>
  <c r="BA67" i="4"/>
  <c r="AZ67" i="4"/>
  <c r="AU67" i="4"/>
  <c r="H196" i="2"/>
  <c r="G196" i="2"/>
  <c r="F196" i="2"/>
  <c r="E196" i="2"/>
  <c r="H195" i="2"/>
  <c r="G195" i="2"/>
  <c r="F195" i="2"/>
  <c r="E195" i="2"/>
  <c r="H194" i="2"/>
  <c r="G194" i="2"/>
  <c r="F194" i="2"/>
  <c r="E194" i="2"/>
  <c r="H170" i="2"/>
  <c r="G170" i="2"/>
  <c r="F170" i="2"/>
  <c r="E170" i="2"/>
  <c r="H169" i="2"/>
  <c r="G169" i="2"/>
  <c r="F169" i="2"/>
  <c r="E169" i="2"/>
  <c r="H180" i="2"/>
  <c r="G180" i="2"/>
  <c r="F180" i="2"/>
  <c r="E180" i="2"/>
  <c r="H179" i="2"/>
  <c r="G179" i="2"/>
  <c r="F179" i="2"/>
  <c r="E179" i="2"/>
  <c r="AQ93" i="2"/>
  <c r="AP93" i="2"/>
  <c r="AQ92" i="2"/>
  <c r="AP92" i="2"/>
  <c r="AQ91" i="2"/>
  <c r="AP91" i="2"/>
  <c r="AQ90" i="2"/>
  <c r="AP90" i="2"/>
  <c r="AQ89" i="2"/>
  <c r="AP89" i="2"/>
  <c r="AQ88" i="2"/>
  <c r="AP88" i="2"/>
  <c r="AQ87" i="2"/>
  <c r="AP87" i="2"/>
  <c r="AQ86" i="2"/>
  <c r="AP86" i="2"/>
  <c r="AQ85" i="2"/>
  <c r="AP85" i="2"/>
  <c r="AQ84" i="2"/>
  <c r="AP84" i="2"/>
  <c r="AQ83" i="2"/>
  <c r="AP83" i="2"/>
  <c r="AQ82" i="2"/>
  <c r="AP82" i="2"/>
  <c r="AQ81" i="2"/>
  <c r="AP81" i="2"/>
  <c r="AQ80" i="2"/>
  <c r="AP80" i="2"/>
  <c r="AQ79" i="2"/>
  <c r="AP79" i="2"/>
  <c r="AQ78" i="2"/>
  <c r="AP78" i="2"/>
  <c r="AQ29" i="2"/>
  <c r="AP29" i="2"/>
  <c r="T78" i="4"/>
  <c r="AJ78" i="4"/>
  <c r="AI78" i="4"/>
  <c r="S78" i="4"/>
  <c r="AO209" i="2" l="1"/>
  <c r="AM20" i="2"/>
  <c r="AN20" i="2"/>
  <c r="AN124" i="2" s="1"/>
  <c r="AZ66" i="4"/>
  <c r="BD66" i="4" s="1"/>
  <c r="BA66" i="4"/>
  <c r="BF66" i="4" s="1"/>
  <c r="BB66" i="4"/>
  <c r="BH66" i="4" s="1"/>
  <c r="BC66" i="4"/>
  <c r="BJ66" i="4" s="1"/>
  <c r="AU66" i="4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AK50" i="2"/>
  <c r="AJ50" i="2"/>
  <c r="AH50" i="2"/>
  <c r="AG50" i="2"/>
  <c r="AE50" i="2"/>
  <c r="AD50" i="2"/>
  <c r="AB50" i="2"/>
  <c r="AA50" i="2"/>
  <c r="Y50" i="2"/>
  <c r="X50" i="2"/>
  <c r="V50" i="2"/>
  <c r="U50" i="2"/>
  <c r="S50" i="2"/>
  <c r="R50" i="2"/>
  <c r="P50" i="2"/>
  <c r="O50" i="2"/>
  <c r="M50" i="2"/>
  <c r="L50" i="2"/>
  <c r="J50" i="2"/>
  <c r="I50" i="2"/>
  <c r="AK49" i="2"/>
  <c r="AJ49" i="2"/>
  <c r="AH49" i="2"/>
  <c r="AG49" i="2"/>
  <c r="AE49" i="2"/>
  <c r="AD49" i="2"/>
  <c r="AB49" i="2"/>
  <c r="AA49" i="2"/>
  <c r="Y49" i="2"/>
  <c r="X49" i="2"/>
  <c r="V49" i="2"/>
  <c r="U49" i="2"/>
  <c r="S49" i="2"/>
  <c r="R49" i="2"/>
  <c r="P49" i="2"/>
  <c r="O49" i="2"/>
  <c r="M49" i="2"/>
  <c r="L49" i="2"/>
  <c r="J49" i="2"/>
  <c r="I49" i="2"/>
  <c r="AK48" i="2"/>
  <c r="AJ48" i="2"/>
  <c r="AH48" i="2"/>
  <c r="AG48" i="2"/>
  <c r="AE48" i="2"/>
  <c r="AD48" i="2"/>
  <c r="AB48" i="2"/>
  <c r="AA48" i="2"/>
  <c r="Y48" i="2"/>
  <c r="X48" i="2"/>
  <c r="V48" i="2"/>
  <c r="U48" i="2"/>
  <c r="S48" i="2"/>
  <c r="R48" i="2"/>
  <c r="P48" i="2"/>
  <c r="O48" i="2"/>
  <c r="M48" i="2"/>
  <c r="L48" i="2"/>
  <c r="J48" i="2"/>
  <c r="I48" i="2"/>
  <c r="AK47" i="2"/>
  <c r="AJ47" i="2"/>
  <c r="AH47" i="2"/>
  <c r="AG47" i="2"/>
  <c r="AE47" i="2"/>
  <c r="AD47" i="2"/>
  <c r="AB47" i="2"/>
  <c r="AA47" i="2"/>
  <c r="Y47" i="2"/>
  <c r="X47" i="2"/>
  <c r="V47" i="2"/>
  <c r="U47" i="2"/>
  <c r="S47" i="2"/>
  <c r="R47" i="2"/>
  <c r="P47" i="2"/>
  <c r="O47" i="2"/>
  <c r="M47" i="2"/>
  <c r="L47" i="2"/>
  <c r="J47" i="2"/>
  <c r="I47" i="2"/>
  <c r="AK46" i="2"/>
  <c r="AJ46" i="2"/>
  <c r="AH46" i="2"/>
  <c r="AG46" i="2"/>
  <c r="AE46" i="2"/>
  <c r="AD46" i="2"/>
  <c r="AB46" i="2"/>
  <c r="AA46" i="2"/>
  <c r="Y46" i="2"/>
  <c r="X46" i="2"/>
  <c r="V46" i="2"/>
  <c r="U46" i="2"/>
  <c r="S46" i="2"/>
  <c r="R46" i="2"/>
  <c r="P46" i="2"/>
  <c r="O46" i="2"/>
  <c r="M46" i="2"/>
  <c r="L46" i="2"/>
  <c r="J46" i="2"/>
  <c r="I46" i="2"/>
  <c r="AK45" i="2"/>
  <c r="AJ45" i="2"/>
  <c r="AH45" i="2"/>
  <c r="AG45" i="2"/>
  <c r="AE45" i="2"/>
  <c r="AD45" i="2"/>
  <c r="AB45" i="2"/>
  <c r="AA45" i="2"/>
  <c r="Y45" i="2"/>
  <c r="X45" i="2"/>
  <c r="V45" i="2"/>
  <c r="U45" i="2"/>
  <c r="S45" i="2"/>
  <c r="R45" i="2"/>
  <c r="P45" i="2"/>
  <c r="O45" i="2"/>
  <c r="M45" i="2"/>
  <c r="L45" i="2"/>
  <c r="J45" i="2"/>
  <c r="I45" i="2"/>
  <c r="AK44" i="2"/>
  <c r="AJ44" i="2"/>
  <c r="AH44" i="2"/>
  <c r="AG44" i="2"/>
  <c r="AE44" i="2"/>
  <c r="AD44" i="2"/>
  <c r="AB44" i="2"/>
  <c r="AA44" i="2"/>
  <c r="Y44" i="2"/>
  <c r="X44" i="2"/>
  <c r="V44" i="2"/>
  <c r="U44" i="2"/>
  <c r="S44" i="2"/>
  <c r="R44" i="2"/>
  <c r="P44" i="2"/>
  <c r="O44" i="2"/>
  <c r="M44" i="2"/>
  <c r="L44" i="2"/>
  <c r="J44" i="2"/>
  <c r="I44" i="2"/>
  <c r="AK43" i="2"/>
  <c r="AJ43" i="2"/>
  <c r="AH43" i="2"/>
  <c r="AG43" i="2"/>
  <c r="AE43" i="2"/>
  <c r="AD43" i="2"/>
  <c r="AB43" i="2"/>
  <c r="AA43" i="2"/>
  <c r="Y43" i="2"/>
  <c r="X43" i="2"/>
  <c r="V43" i="2"/>
  <c r="U43" i="2"/>
  <c r="S43" i="2"/>
  <c r="R43" i="2"/>
  <c r="P43" i="2"/>
  <c r="O43" i="2"/>
  <c r="M43" i="2"/>
  <c r="L43" i="2"/>
  <c r="J43" i="2"/>
  <c r="I43" i="2"/>
  <c r="AK42" i="2"/>
  <c r="AJ42" i="2"/>
  <c r="AH42" i="2"/>
  <c r="AG42" i="2"/>
  <c r="AE42" i="2"/>
  <c r="AD42" i="2"/>
  <c r="AB42" i="2"/>
  <c r="AA42" i="2"/>
  <c r="Y42" i="2"/>
  <c r="X42" i="2"/>
  <c r="V42" i="2"/>
  <c r="U42" i="2"/>
  <c r="S42" i="2"/>
  <c r="R42" i="2"/>
  <c r="P42" i="2"/>
  <c r="O42" i="2"/>
  <c r="M42" i="2"/>
  <c r="L42" i="2"/>
  <c r="J42" i="2"/>
  <c r="I42" i="2"/>
  <c r="AK41" i="2"/>
  <c r="AJ41" i="2"/>
  <c r="AH41" i="2"/>
  <c r="AG41" i="2"/>
  <c r="AE41" i="2"/>
  <c r="AD41" i="2"/>
  <c r="AB41" i="2"/>
  <c r="AA41" i="2"/>
  <c r="Y41" i="2"/>
  <c r="X41" i="2"/>
  <c r="V41" i="2"/>
  <c r="U41" i="2"/>
  <c r="S41" i="2"/>
  <c r="R41" i="2"/>
  <c r="P41" i="2"/>
  <c r="O41" i="2"/>
  <c r="M41" i="2"/>
  <c r="L41" i="2"/>
  <c r="J41" i="2"/>
  <c r="I41" i="2"/>
  <c r="AK40" i="2"/>
  <c r="AJ40" i="2"/>
  <c r="AH40" i="2"/>
  <c r="AG40" i="2"/>
  <c r="AE40" i="2"/>
  <c r="AD40" i="2"/>
  <c r="AB40" i="2"/>
  <c r="AA40" i="2"/>
  <c r="Y40" i="2"/>
  <c r="X40" i="2"/>
  <c r="V40" i="2"/>
  <c r="U40" i="2"/>
  <c r="S40" i="2"/>
  <c r="R40" i="2"/>
  <c r="P40" i="2"/>
  <c r="O40" i="2"/>
  <c r="M40" i="2"/>
  <c r="L40" i="2"/>
  <c r="J40" i="2"/>
  <c r="I40" i="2"/>
  <c r="AK39" i="2"/>
  <c r="AJ39" i="2"/>
  <c r="AH39" i="2"/>
  <c r="AG39" i="2"/>
  <c r="AE39" i="2"/>
  <c r="AD39" i="2"/>
  <c r="AB39" i="2"/>
  <c r="AA39" i="2"/>
  <c r="Y39" i="2"/>
  <c r="X39" i="2"/>
  <c r="V39" i="2"/>
  <c r="U39" i="2"/>
  <c r="S39" i="2"/>
  <c r="R39" i="2"/>
  <c r="P39" i="2"/>
  <c r="O39" i="2"/>
  <c r="M39" i="2"/>
  <c r="L39" i="2"/>
  <c r="J39" i="2"/>
  <c r="I39" i="2"/>
  <c r="AK38" i="2"/>
  <c r="AJ38" i="2"/>
  <c r="AH38" i="2"/>
  <c r="AG38" i="2"/>
  <c r="AE38" i="2"/>
  <c r="AD38" i="2"/>
  <c r="AB38" i="2"/>
  <c r="AA38" i="2"/>
  <c r="Y38" i="2"/>
  <c r="X38" i="2"/>
  <c r="V38" i="2"/>
  <c r="U38" i="2"/>
  <c r="S38" i="2"/>
  <c r="R38" i="2"/>
  <c r="P38" i="2"/>
  <c r="O38" i="2"/>
  <c r="M38" i="2"/>
  <c r="L38" i="2"/>
  <c r="J38" i="2"/>
  <c r="I38" i="2"/>
  <c r="AK37" i="2"/>
  <c r="AJ37" i="2"/>
  <c r="AH37" i="2"/>
  <c r="AG37" i="2"/>
  <c r="AE37" i="2"/>
  <c r="AD37" i="2"/>
  <c r="AB37" i="2"/>
  <c r="AA37" i="2"/>
  <c r="Y37" i="2"/>
  <c r="X37" i="2"/>
  <c r="V37" i="2"/>
  <c r="U37" i="2"/>
  <c r="S37" i="2"/>
  <c r="R37" i="2"/>
  <c r="P37" i="2"/>
  <c r="O37" i="2"/>
  <c r="M37" i="2"/>
  <c r="L37" i="2"/>
  <c r="J37" i="2"/>
  <c r="I37" i="2"/>
  <c r="AK36" i="2"/>
  <c r="AJ36" i="2"/>
  <c r="AH36" i="2"/>
  <c r="AG36" i="2"/>
  <c r="AE36" i="2"/>
  <c r="AD36" i="2"/>
  <c r="AB36" i="2"/>
  <c r="AA36" i="2"/>
  <c r="Y36" i="2"/>
  <c r="X36" i="2"/>
  <c r="V36" i="2"/>
  <c r="U36" i="2"/>
  <c r="S36" i="2"/>
  <c r="R36" i="2"/>
  <c r="P36" i="2"/>
  <c r="O36" i="2"/>
  <c r="M36" i="2"/>
  <c r="L36" i="2"/>
  <c r="J36" i="2"/>
  <c r="I36" i="2"/>
  <c r="AK35" i="2"/>
  <c r="AJ35" i="2"/>
  <c r="AH35" i="2"/>
  <c r="AG35" i="2"/>
  <c r="AE35" i="2"/>
  <c r="AD35" i="2"/>
  <c r="AB35" i="2"/>
  <c r="AA35" i="2"/>
  <c r="Y35" i="2"/>
  <c r="X35" i="2"/>
  <c r="V35" i="2"/>
  <c r="U35" i="2"/>
  <c r="S35" i="2"/>
  <c r="R35" i="2"/>
  <c r="P35" i="2"/>
  <c r="O35" i="2"/>
  <c r="M35" i="2"/>
  <c r="L35" i="2"/>
  <c r="J35" i="2"/>
  <c r="I35" i="2"/>
  <c r="AK34" i="2"/>
  <c r="AJ34" i="2"/>
  <c r="AH34" i="2"/>
  <c r="AG34" i="2"/>
  <c r="AE34" i="2"/>
  <c r="AD34" i="2"/>
  <c r="AB34" i="2"/>
  <c r="AA34" i="2"/>
  <c r="Y34" i="2"/>
  <c r="X34" i="2"/>
  <c r="V34" i="2"/>
  <c r="U34" i="2"/>
  <c r="S34" i="2"/>
  <c r="R34" i="2"/>
  <c r="P34" i="2"/>
  <c r="O34" i="2"/>
  <c r="M34" i="2"/>
  <c r="L34" i="2"/>
  <c r="J34" i="2"/>
  <c r="I34" i="2"/>
  <c r="AK33" i="2"/>
  <c r="AJ33" i="2"/>
  <c r="AH33" i="2"/>
  <c r="AG33" i="2"/>
  <c r="AE33" i="2"/>
  <c r="AD33" i="2"/>
  <c r="AB33" i="2"/>
  <c r="AA33" i="2"/>
  <c r="Y33" i="2"/>
  <c r="X33" i="2"/>
  <c r="V33" i="2"/>
  <c r="U33" i="2"/>
  <c r="S33" i="2"/>
  <c r="R33" i="2"/>
  <c r="P33" i="2"/>
  <c r="O33" i="2"/>
  <c r="M33" i="2"/>
  <c r="L33" i="2"/>
  <c r="J33" i="2"/>
  <c r="I33" i="2"/>
  <c r="AK32" i="2"/>
  <c r="AJ32" i="2"/>
  <c r="AH32" i="2"/>
  <c r="AG32" i="2"/>
  <c r="AE32" i="2"/>
  <c r="AD32" i="2"/>
  <c r="AB32" i="2"/>
  <c r="AA32" i="2"/>
  <c r="Y32" i="2"/>
  <c r="X32" i="2"/>
  <c r="V32" i="2"/>
  <c r="U32" i="2"/>
  <c r="S32" i="2"/>
  <c r="R32" i="2"/>
  <c r="P32" i="2"/>
  <c r="O32" i="2"/>
  <c r="M32" i="2"/>
  <c r="L32" i="2"/>
  <c r="J32" i="2"/>
  <c r="I32" i="2"/>
  <c r="AK31" i="2"/>
  <c r="AJ31" i="2"/>
  <c r="AH31" i="2"/>
  <c r="AG31" i="2"/>
  <c r="AE31" i="2"/>
  <c r="AD31" i="2"/>
  <c r="AB31" i="2"/>
  <c r="AA31" i="2"/>
  <c r="Y31" i="2"/>
  <c r="X31" i="2"/>
  <c r="V31" i="2"/>
  <c r="U31" i="2"/>
  <c r="S31" i="2"/>
  <c r="R31" i="2"/>
  <c r="P31" i="2"/>
  <c r="O31" i="2"/>
  <c r="M31" i="2"/>
  <c r="L31" i="2"/>
  <c r="J31" i="2"/>
  <c r="I31" i="2"/>
  <c r="AK30" i="2"/>
  <c r="AK54" i="2" s="1"/>
  <c r="AJ30" i="2"/>
  <c r="AJ54" i="2" s="1"/>
  <c r="AH30" i="2"/>
  <c r="AH54" i="2" s="1"/>
  <c r="AG30" i="2"/>
  <c r="AG54" i="2" s="1"/>
  <c r="AE30" i="2"/>
  <c r="AE54" i="2" s="1"/>
  <c r="AD30" i="2"/>
  <c r="AD54" i="2" s="1"/>
  <c r="AB30" i="2"/>
  <c r="AB54" i="2" s="1"/>
  <c r="AA30" i="2"/>
  <c r="AA54" i="2" s="1"/>
  <c r="Y30" i="2"/>
  <c r="Y54" i="2" s="1"/>
  <c r="X30" i="2"/>
  <c r="X54" i="2" s="1"/>
  <c r="V30" i="2"/>
  <c r="V54" i="2" s="1"/>
  <c r="U30" i="2"/>
  <c r="U54" i="2" s="1"/>
  <c r="S30" i="2"/>
  <c r="S54" i="2" s="1"/>
  <c r="R30" i="2"/>
  <c r="R54" i="2" s="1"/>
  <c r="P30" i="2"/>
  <c r="P54" i="2" s="1"/>
  <c r="O30" i="2"/>
  <c r="O54" i="2" s="1"/>
  <c r="M30" i="2"/>
  <c r="M54" i="2" s="1"/>
  <c r="L30" i="2"/>
  <c r="L54" i="2" s="1"/>
  <c r="J30" i="2"/>
  <c r="J54" i="2" s="1"/>
  <c r="I30" i="2"/>
  <c r="I54" i="2" s="1"/>
  <c r="H54" i="2"/>
  <c r="G54" i="2"/>
  <c r="AM19" i="2"/>
  <c r="AN19" i="2"/>
  <c r="AN123" i="2" s="1"/>
  <c r="AM10" i="2"/>
  <c r="AN10" i="2"/>
  <c r="AN114" i="2" s="1"/>
  <c r="AM11" i="2"/>
  <c r="AN11" i="2"/>
  <c r="AN115" i="2" s="1"/>
  <c r="AM12" i="2"/>
  <c r="AN12" i="2"/>
  <c r="AN116" i="2" s="1"/>
  <c r="AM13" i="2"/>
  <c r="AN13" i="2"/>
  <c r="AN117" i="2" s="1"/>
  <c r="AM14" i="2"/>
  <c r="AN14" i="2"/>
  <c r="AN118" i="2" s="1"/>
  <c r="AM15" i="2"/>
  <c r="AN15" i="2"/>
  <c r="AN119" i="2" s="1"/>
  <c r="AM16" i="2"/>
  <c r="AN16" i="2"/>
  <c r="AN120" i="2" s="1"/>
  <c r="AM17" i="2"/>
  <c r="AN17" i="2"/>
  <c r="AN121" i="2" s="1"/>
  <c r="AM18" i="2"/>
  <c r="AN18" i="2"/>
  <c r="AN122" i="2" s="1"/>
  <c r="AZ64" i="4"/>
  <c r="BD64" i="4" s="1"/>
  <c r="BA64" i="4"/>
  <c r="BF64" i="4" s="1"/>
  <c r="BB64" i="4"/>
  <c r="BH64" i="4" s="1"/>
  <c r="BC64" i="4"/>
  <c r="BJ64" i="4" s="1"/>
  <c r="AZ65" i="4"/>
  <c r="BD65" i="4" s="1"/>
  <c r="BA65" i="4"/>
  <c r="BF65" i="4" s="1"/>
  <c r="BB65" i="4"/>
  <c r="BH65" i="4" s="1"/>
  <c r="BC65" i="4"/>
  <c r="BJ65" i="4" s="1"/>
  <c r="AU61" i="4"/>
  <c r="AU62" i="4"/>
  <c r="AU63" i="4"/>
  <c r="AU64" i="4"/>
  <c r="AU65" i="4"/>
  <c r="L79" i="1"/>
  <c r="J5" i="1"/>
  <c r="K5" i="1"/>
  <c r="E33" i="4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BU15" i="2"/>
  <c r="BV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BU16" i="2"/>
  <c r="BV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BU17" i="2"/>
  <c r="BV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BU18" i="2"/>
  <c r="BV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BU19" i="2"/>
  <c r="BV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DH19" i="2" s="1"/>
  <c r="CK19" i="2"/>
  <c r="CL19" i="2"/>
  <c r="CM19" i="2"/>
  <c r="CN19" i="2"/>
  <c r="CO19" i="2"/>
  <c r="CP19" i="2"/>
  <c r="CQ19" i="2"/>
  <c r="CR19" i="2"/>
  <c r="BU20" i="2"/>
  <c r="BV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BU21" i="2"/>
  <c r="BV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BU22" i="2"/>
  <c r="BV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BU23" i="2"/>
  <c r="BV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BU24" i="2"/>
  <c r="BV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BU25" i="2"/>
  <c r="BV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BU7" i="2"/>
  <c r="BV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BU8" i="2"/>
  <c r="BV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BU9" i="2"/>
  <c r="BV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BU10" i="2"/>
  <c r="BV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BU11" i="2"/>
  <c r="BV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BU12" i="2"/>
  <c r="BV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BU13" i="2"/>
  <c r="BV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BU14" i="2"/>
  <c r="BV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V6" i="2"/>
  <c r="BU6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AZ63" i="4"/>
  <c r="BD63" i="4" s="1"/>
  <c r="BA63" i="4"/>
  <c r="BF63" i="4" s="1"/>
  <c r="BB63" i="4"/>
  <c r="BH63" i="4" s="1"/>
  <c r="BC63" i="4"/>
  <c r="BJ63" i="4" s="1"/>
  <c r="AZ62" i="4"/>
  <c r="BD62" i="4" s="1"/>
  <c r="BA62" i="4"/>
  <c r="BF62" i="4" s="1"/>
  <c r="BB62" i="4"/>
  <c r="BH62" i="4" s="1"/>
  <c r="BC62" i="4"/>
  <c r="BJ62" i="4" s="1"/>
  <c r="AZ61" i="4"/>
  <c r="BD61" i="4" s="1"/>
  <c r="BA61" i="4"/>
  <c r="BF61" i="4" s="1"/>
  <c r="BB61" i="4"/>
  <c r="BH61" i="4" s="1"/>
  <c r="BC61" i="4"/>
  <c r="BJ61" i="4" s="1"/>
  <c r="AZ59" i="4"/>
  <c r="BD59" i="4" s="1"/>
  <c r="BA59" i="4"/>
  <c r="BF59" i="4" s="1"/>
  <c r="BB59" i="4"/>
  <c r="BH59" i="4" s="1"/>
  <c r="BC59" i="4"/>
  <c r="BJ59" i="4" s="1"/>
  <c r="AZ60" i="4"/>
  <c r="BD60" i="4" s="1"/>
  <c r="BA60" i="4"/>
  <c r="BF60" i="4" s="1"/>
  <c r="BB60" i="4"/>
  <c r="BH60" i="4" s="1"/>
  <c r="BC60" i="4"/>
  <c r="BJ60" i="4" s="1"/>
  <c r="AU60" i="4"/>
  <c r="AU59" i="4"/>
  <c r="AZ58" i="4"/>
  <c r="BD58" i="4" s="1"/>
  <c r="BA58" i="4"/>
  <c r="BF58" i="4" s="1"/>
  <c r="BB58" i="4"/>
  <c r="BH58" i="4" s="1"/>
  <c r="BC58" i="4"/>
  <c r="BJ58" i="4" s="1"/>
  <c r="AU58" i="4"/>
  <c r="AU57" i="4"/>
  <c r="AU56" i="4"/>
  <c r="AU55" i="4"/>
  <c r="AU54" i="4"/>
  <c r="AU53" i="4"/>
  <c r="BC57" i="4"/>
  <c r="BJ57" i="4" s="1"/>
  <c r="BB57" i="4"/>
  <c r="BH57" i="4" s="1"/>
  <c r="BA57" i="4"/>
  <c r="BF57" i="4" s="1"/>
  <c r="AZ57" i="4"/>
  <c r="BD57" i="4" s="1"/>
  <c r="AZ56" i="4"/>
  <c r="BD56" i="4" s="1"/>
  <c r="BA56" i="4"/>
  <c r="BF56" i="4" s="1"/>
  <c r="BB56" i="4"/>
  <c r="BH56" i="4" s="1"/>
  <c r="BC56" i="4"/>
  <c r="BJ56" i="4" s="1"/>
  <c r="AM9" i="2"/>
  <c r="AN9" i="2"/>
  <c r="AN113" i="2" s="1"/>
  <c r="AZ55" i="4"/>
  <c r="BD55" i="4" s="1"/>
  <c r="BA55" i="4"/>
  <c r="BF55" i="4" s="1"/>
  <c r="BB55" i="4"/>
  <c r="BH55" i="4" s="1"/>
  <c r="BC55" i="4"/>
  <c r="BJ55" i="4" s="1"/>
  <c r="R78" i="4"/>
  <c r="Q78" i="4"/>
  <c r="P78" i="4"/>
  <c r="BC54" i="4"/>
  <c r="BJ54" i="4" s="1"/>
  <c r="BB54" i="4"/>
  <c r="BA54" i="4"/>
  <c r="BF54" i="4" s="1"/>
  <c r="AZ54" i="4"/>
  <c r="BD54" i="4" s="1"/>
  <c r="F80" i="1"/>
  <c r="F79" i="1"/>
  <c r="F82" i="1"/>
  <c r="F81" i="1"/>
  <c r="F78" i="1"/>
  <c r="F77" i="1"/>
  <c r="F76" i="1"/>
  <c r="F75" i="1"/>
  <c r="F74" i="1"/>
  <c r="AM115" i="2" l="1"/>
  <c r="AO11" i="2"/>
  <c r="AM114" i="2"/>
  <c r="AO10" i="2"/>
  <c r="AM123" i="2"/>
  <c r="E146" i="2" s="1"/>
  <c r="AO19" i="2"/>
  <c r="AM122" i="2"/>
  <c r="G145" i="2" s="1"/>
  <c r="AO18" i="2"/>
  <c r="AM121" i="2"/>
  <c r="E144" i="2" s="1"/>
  <c r="AO17" i="2"/>
  <c r="AM119" i="2"/>
  <c r="G142" i="2" s="1"/>
  <c r="AO15" i="2"/>
  <c r="AM118" i="2"/>
  <c r="AO118" i="2" s="1"/>
  <c r="AO14" i="2"/>
  <c r="AM117" i="2"/>
  <c r="AO117" i="2" s="1"/>
  <c r="AO13" i="2"/>
  <c r="AM116" i="2"/>
  <c r="E139" i="2" s="1"/>
  <c r="AO12" i="2"/>
  <c r="AM113" i="2"/>
  <c r="AO113" i="2" s="1"/>
  <c r="AO9" i="2"/>
  <c r="AM120" i="2"/>
  <c r="AO16" i="2"/>
  <c r="AM124" i="2"/>
  <c r="G147" i="2" s="1"/>
  <c r="AO20" i="2"/>
  <c r="AO115" i="2"/>
  <c r="AO114" i="2"/>
  <c r="AO124" i="2"/>
  <c r="AO120" i="2"/>
  <c r="P64" i="2"/>
  <c r="O64" i="2"/>
  <c r="H138" i="2"/>
  <c r="F138" i="2"/>
  <c r="G138" i="2"/>
  <c r="E138" i="2"/>
  <c r="F136" i="2"/>
  <c r="H136" i="2"/>
  <c r="H137" i="2"/>
  <c r="F137" i="2"/>
  <c r="F139" i="2"/>
  <c r="H139" i="2"/>
  <c r="F145" i="2"/>
  <c r="H145" i="2"/>
  <c r="F144" i="2"/>
  <c r="H144" i="2"/>
  <c r="E137" i="2"/>
  <c r="G137" i="2"/>
  <c r="H143" i="2"/>
  <c r="F143" i="2"/>
  <c r="H146" i="2"/>
  <c r="F146" i="2"/>
  <c r="G143" i="2"/>
  <c r="E143" i="2"/>
  <c r="H142" i="2"/>
  <c r="F142" i="2"/>
  <c r="H141" i="2"/>
  <c r="F141" i="2"/>
  <c r="F147" i="2"/>
  <c r="H147" i="2"/>
  <c r="H140" i="2"/>
  <c r="F140" i="2"/>
  <c r="BE66" i="4"/>
  <c r="P58" i="2"/>
  <c r="V193" i="2"/>
  <c r="Y193" i="2"/>
  <c r="AA193" i="2"/>
  <c r="X193" i="2"/>
  <c r="AD193" i="2"/>
  <c r="G178" i="2"/>
  <c r="G193" i="2"/>
  <c r="G168" i="2"/>
  <c r="AK193" i="2"/>
  <c r="L193" i="2"/>
  <c r="R193" i="2"/>
  <c r="AB193" i="2"/>
  <c r="AE193" i="2"/>
  <c r="AG193" i="2"/>
  <c r="AH193" i="2"/>
  <c r="AJ193" i="2"/>
  <c r="H178" i="2"/>
  <c r="H193" i="2"/>
  <c r="H168" i="2"/>
  <c r="I193" i="2"/>
  <c r="J193" i="2"/>
  <c r="M193" i="2"/>
  <c r="S193" i="2"/>
  <c r="O193" i="2"/>
  <c r="P193" i="2"/>
  <c r="U193" i="2"/>
  <c r="AP46" i="2"/>
  <c r="M64" i="2"/>
  <c r="AQ45" i="2"/>
  <c r="M72" i="2"/>
  <c r="AP37" i="2"/>
  <c r="AQ47" i="2"/>
  <c r="AP38" i="2"/>
  <c r="AQ38" i="2"/>
  <c r="B54" i="2"/>
  <c r="AP30" i="2"/>
  <c r="C54" i="2"/>
  <c r="AQ30" i="2"/>
  <c r="AQ41" i="2"/>
  <c r="AP32" i="2"/>
  <c r="AQ33" i="2"/>
  <c r="AP34" i="2"/>
  <c r="AP44" i="2"/>
  <c r="AQ46" i="2"/>
  <c r="AP47" i="2"/>
  <c r="AP48" i="2"/>
  <c r="B64" i="2"/>
  <c r="AP39" i="2"/>
  <c r="C74" i="2"/>
  <c r="AQ49" i="2"/>
  <c r="AP50" i="2"/>
  <c r="AQ40" i="2"/>
  <c r="AP31" i="2"/>
  <c r="AQ42" i="2"/>
  <c r="AP33" i="2"/>
  <c r="AQ43" i="2"/>
  <c r="AQ34" i="2"/>
  <c r="AQ44" i="2"/>
  <c r="AQ35" i="2"/>
  <c r="AP36" i="2"/>
  <c r="AQ36" i="2"/>
  <c r="AQ37" i="2"/>
  <c r="AQ48" i="2"/>
  <c r="B74" i="2"/>
  <c r="AP49" i="2"/>
  <c r="C64" i="2"/>
  <c r="AQ39" i="2"/>
  <c r="AP40" i="2"/>
  <c r="AQ50" i="2"/>
  <c r="AP41" i="2"/>
  <c r="AQ31" i="2"/>
  <c r="AP42" i="2"/>
  <c r="AQ32" i="2"/>
  <c r="AP43" i="2"/>
  <c r="CZ25" i="2"/>
  <c r="DH21" i="2"/>
  <c r="DJ20" i="2"/>
  <c r="DP17" i="2"/>
  <c r="CX16" i="2"/>
  <c r="X59" i="2"/>
  <c r="AP35" i="2"/>
  <c r="AP45" i="2"/>
  <c r="AJ62" i="2"/>
  <c r="I56" i="2"/>
  <c r="J64" i="2"/>
  <c r="O61" i="2"/>
  <c r="J61" i="2"/>
  <c r="J62" i="2"/>
  <c r="L64" i="2"/>
  <c r="I72" i="2"/>
  <c r="R57" i="2"/>
  <c r="R58" i="2"/>
  <c r="R62" i="2"/>
  <c r="O68" i="2"/>
  <c r="O69" i="2"/>
  <c r="O70" i="2"/>
  <c r="S57" i="2"/>
  <c r="S60" i="2"/>
  <c r="S63" i="2"/>
  <c r="P70" i="2"/>
  <c r="AA56" i="2"/>
  <c r="C67" i="2"/>
  <c r="AG69" i="2"/>
  <c r="M62" i="2"/>
  <c r="J65" i="2"/>
  <c r="J68" i="2"/>
  <c r="O59" i="2"/>
  <c r="L72" i="2"/>
  <c r="P57" i="2"/>
  <c r="P61" i="2"/>
  <c r="M65" i="2"/>
  <c r="M67" i="2"/>
  <c r="U57" i="2"/>
  <c r="U60" i="2"/>
  <c r="R67" i="2"/>
  <c r="R68" i="2"/>
  <c r="R70" i="2"/>
  <c r="R71" i="2"/>
  <c r="R72" i="2"/>
  <c r="R73" i="2"/>
  <c r="BI66" i="4"/>
  <c r="BG66" i="4"/>
  <c r="BE54" i="4"/>
  <c r="BG54" i="4"/>
  <c r="BH54" i="4"/>
  <c r="BI54" i="4" s="1"/>
  <c r="BK54" i="4"/>
  <c r="R55" i="2"/>
  <c r="R178" i="2" s="1"/>
  <c r="P60" i="2"/>
  <c r="R61" i="2"/>
  <c r="O65" i="2"/>
  <c r="O67" i="2"/>
  <c r="O71" i="2"/>
  <c r="O72" i="2"/>
  <c r="S61" i="2"/>
  <c r="P68" i="2"/>
  <c r="P71" i="2"/>
  <c r="V63" i="2"/>
  <c r="Y56" i="2"/>
  <c r="Y63" i="2"/>
  <c r="V65" i="2"/>
  <c r="AJ61" i="2"/>
  <c r="M57" i="2"/>
  <c r="M61" i="2"/>
  <c r="J67" i="2"/>
  <c r="J72" i="2"/>
  <c r="L65" i="2"/>
  <c r="L74" i="2"/>
  <c r="U56" i="2"/>
  <c r="AD63" i="2"/>
  <c r="AJ58" i="2"/>
  <c r="I71" i="2"/>
  <c r="J71" i="2"/>
  <c r="O58" i="2"/>
  <c r="L67" i="2"/>
  <c r="M71" i="2"/>
  <c r="U63" i="2"/>
  <c r="M74" i="2"/>
  <c r="L57" i="2"/>
  <c r="L61" i="2"/>
  <c r="I68" i="2"/>
  <c r="O60" i="2"/>
  <c r="L66" i="2"/>
  <c r="L71" i="2"/>
  <c r="M68" i="2"/>
  <c r="B55" i="2"/>
  <c r="C55" i="2"/>
  <c r="X69" i="2"/>
  <c r="AH55" i="2"/>
  <c r="AG57" i="2"/>
  <c r="AG59" i="2"/>
  <c r="AD68" i="2"/>
  <c r="AD72" i="2"/>
  <c r="I64" i="2"/>
  <c r="J73" i="2"/>
  <c r="O57" i="2"/>
  <c r="P67" i="2"/>
  <c r="U61" i="2"/>
  <c r="AJ55" i="2"/>
  <c r="AJ168" i="2" s="1"/>
  <c r="AH58" i="2"/>
  <c r="AH60" i="2"/>
  <c r="L73" i="2"/>
  <c r="B65" i="2"/>
  <c r="C65" i="2"/>
  <c r="S64" i="2"/>
  <c r="S70" i="2"/>
  <c r="O74" i="2"/>
  <c r="X58" i="2"/>
  <c r="U64" i="2"/>
  <c r="C56" i="2"/>
  <c r="AA63" i="2"/>
  <c r="AB56" i="2"/>
  <c r="AB63" i="2"/>
  <c r="Y65" i="2"/>
  <c r="U74" i="2"/>
  <c r="B68" i="2"/>
  <c r="V74" i="2"/>
  <c r="AE70" i="2"/>
  <c r="AK59" i="2"/>
  <c r="AH66" i="2"/>
  <c r="AH73" i="2"/>
  <c r="O55" i="2"/>
  <c r="M58" i="2"/>
  <c r="M60" i="2"/>
  <c r="J69" i="2"/>
  <c r="L70" i="2"/>
  <c r="V56" i="2"/>
  <c r="B66" i="2"/>
  <c r="X60" i="2"/>
  <c r="X63" i="2"/>
  <c r="P74" i="2"/>
  <c r="AA60" i="2"/>
  <c r="AD55" i="2"/>
  <c r="AD168" i="2" s="1"/>
  <c r="AB60" i="2"/>
  <c r="Y64" i="2"/>
  <c r="Y73" i="2"/>
  <c r="B58" i="2"/>
  <c r="AD61" i="2"/>
  <c r="C58" i="2"/>
  <c r="AH59" i="2"/>
  <c r="AE72" i="2"/>
  <c r="AK55" i="2"/>
  <c r="AK168" i="2" s="1"/>
  <c r="AG72" i="2"/>
  <c r="P55" i="2"/>
  <c r="P168" i="2" s="1"/>
  <c r="L68" i="2"/>
  <c r="R60" i="2"/>
  <c r="R63" i="2"/>
  <c r="J74" i="2"/>
  <c r="R64" i="2"/>
  <c r="V60" i="2"/>
  <c r="B56" i="2"/>
  <c r="X56" i="2"/>
  <c r="U65" i="2"/>
  <c r="C66" i="2"/>
  <c r="Y58" i="2"/>
  <c r="Y60" i="2"/>
  <c r="R74" i="2"/>
  <c r="AA64" i="2"/>
  <c r="C68" i="2"/>
  <c r="AG55" i="2"/>
  <c r="AG168" i="2" s="1"/>
  <c r="AE59" i="2"/>
  <c r="AE63" i="2"/>
  <c r="AB66" i="2"/>
  <c r="AB72" i="2"/>
  <c r="AD66" i="2"/>
  <c r="AD69" i="2"/>
  <c r="AE66" i="2"/>
  <c r="AJ59" i="2"/>
  <c r="AG66" i="2"/>
  <c r="C73" i="2"/>
  <c r="B57" i="2"/>
  <c r="X55" i="2"/>
  <c r="V57" i="2"/>
  <c r="V58" i="2"/>
  <c r="V59" i="2"/>
  <c r="V61" i="2"/>
  <c r="V62" i="2"/>
  <c r="S65" i="2"/>
  <c r="S66" i="2"/>
  <c r="S67" i="2"/>
  <c r="S68" i="2"/>
  <c r="S69" i="2"/>
  <c r="S71" i="2"/>
  <c r="S72" i="2"/>
  <c r="S73" i="2"/>
  <c r="Y55" i="2"/>
  <c r="Y168" i="2" s="1"/>
  <c r="X57" i="2"/>
  <c r="X61" i="2"/>
  <c r="X62" i="2"/>
  <c r="U66" i="2"/>
  <c r="U67" i="2"/>
  <c r="U68" i="2"/>
  <c r="U69" i="2"/>
  <c r="U70" i="2"/>
  <c r="U71" i="2"/>
  <c r="U72" i="2"/>
  <c r="U73" i="2"/>
  <c r="AA55" i="2"/>
  <c r="AA168" i="2" s="1"/>
  <c r="Y57" i="2"/>
  <c r="Y59" i="2"/>
  <c r="Y61" i="2"/>
  <c r="Y62" i="2"/>
  <c r="V64" i="2"/>
  <c r="V66" i="2"/>
  <c r="V67" i="2"/>
  <c r="V68" i="2"/>
  <c r="V69" i="2"/>
  <c r="V70" i="2"/>
  <c r="V71" i="2"/>
  <c r="V72" i="2"/>
  <c r="V73" i="2"/>
  <c r="B67" i="2"/>
  <c r="AB55" i="2"/>
  <c r="AB168" i="2" s="1"/>
  <c r="AA57" i="2"/>
  <c r="AA58" i="2"/>
  <c r="AA59" i="2"/>
  <c r="AA61" i="2"/>
  <c r="AA62" i="2"/>
  <c r="X64" i="2"/>
  <c r="X65" i="2"/>
  <c r="X66" i="2"/>
  <c r="X67" i="2"/>
  <c r="X68" i="2"/>
  <c r="X70" i="2"/>
  <c r="X71" i="2"/>
  <c r="X72" i="2"/>
  <c r="X73" i="2"/>
  <c r="S74" i="2"/>
  <c r="C57" i="2"/>
  <c r="Y66" i="2"/>
  <c r="Y70" i="2"/>
  <c r="AE55" i="2"/>
  <c r="AE168" i="2" s="1"/>
  <c r="AD57" i="2"/>
  <c r="AD59" i="2"/>
  <c r="AD62" i="2"/>
  <c r="AA65" i="2"/>
  <c r="AA66" i="2"/>
  <c r="AA69" i="2"/>
  <c r="AA70" i="2"/>
  <c r="AA71" i="2"/>
  <c r="AA72" i="2"/>
  <c r="AA73" i="2"/>
  <c r="AB57" i="2"/>
  <c r="AB59" i="2"/>
  <c r="AB62" i="2"/>
  <c r="Y67" i="2"/>
  <c r="Y69" i="2"/>
  <c r="AD56" i="2"/>
  <c r="AE56" i="2"/>
  <c r="AE57" i="2"/>
  <c r="AE62" i="2"/>
  <c r="AB69" i="2"/>
  <c r="X74" i="2"/>
  <c r="AH56" i="2"/>
  <c r="AH62" i="2"/>
  <c r="AE65" i="2"/>
  <c r="AE69" i="2"/>
  <c r="AE73" i="2"/>
  <c r="I55" i="2"/>
  <c r="I168" i="2" s="1"/>
  <c r="AK57" i="2"/>
  <c r="AK58" i="2"/>
  <c r="AK60" i="2"/>
  <c r="AK61" i="2"/>
  <c r="AK62" i="2"/>
  <c r="AK63" i="2"/>
  <c r="AH65" i="2"/>
  <c r="AH67" i="2"/>
  <c r="AH68" i="2"/>
  <c r="AH69" i="2"/>
  <c r="AH70" i="2"/>
  <c r="AH72" i="2"/>
  <c r="J55" i="2"/>
  <c r="J168" i="2" s="1"/>
  <c r="I57" i="2"/>
  <c r="I58" i="2"/>
  <c r="I59" i="2"/>
  <c r="I61" i="2"/>
  <c r="I62" i="2"/>
  <c r="I63" i="2"/>
  <c r="AJ65" i="2"/>
  <c r="AJ66" i="2"/>
  <c r="AJ68" i="2"/>
  <c r="AJ69" i="2"/>
  <c r="AJ71" i="2"/>
  <c r="AJ72" i="2"/>
  <c r="AJ73" i="2"/>
  <c r="L55" i="2"/>
  <c r="L168" i="2" s="1"/>
  <c r="J57" i="2"/>
  <c r="J58" i="2"/>
  <c r="J59" i="2"/>
  <c r="J63" i="2"/>
  <c r="AK65" i="2"/>
  <c r="AK66" i="2"/>
  <c r="AK67" i="2"/>
  <c r="AK68" i="2"/>
  <c r="AK69" i="2"/>
  <c r="AK70" i="2"/>
  <c r="AK71" i="2"/>
  <c r="AK72" i="2"/>
  <c r="B62" i="2"/>
  <c r="B73" i="2"/>
  <c r="M55" i="2"/>
  <c r="M168" i="2" s="1"/>
  <c r="L58" i="2"/>
  <c r="L59" i="2"/>
  <c r="I65" i="2"/>
  <c r="I67" i="2"/>
  <c r="I69" i="2"/>
  <c r="I70" i="2"/>
  <c r="C62" i="2"/>
  <c r="C72" i="2"/>
  <c r="AG62" i="2"/>
  <c r="C69" i="2"/>
  <c r="M59" i="2"/>
  <c r="J70" i="2"/>
  <c r="P56" i="2"/>
  <c r="P62" i="2"/>
  <c r="P63" i="2"/>
  <c r="M66" i="2"/>
  <c r="M69" i="2"/>
  <c r="M70" i="2"/>
  <c r="M73" i="2"/>
  <c r="B59" i="2"/>
  <c r="AG58" i="2"/>
  <c r="AD67" i="2"/>
  <c r="O56" i="2"/>
  <c r="S55" i="2"/>
  <c r="R56" i="2"/>
  <c r="R59" i="2"/>
  <c r="O66" i="2"/>
  <c r="O73" i="2"/>
  <c r="B69" i="2"/>
  <c r="AG61" i="2"/>
  <c r="AD65" i="2"/>
  <c r="AD70" i="2"/>
  <c r="C59" i="2"/>
  <c r="AJ60" i="2"/>
  <c r="AG65" i="2"/>
  <c r="AG68" i="2"/>
  <c r="M63" i="2"/>
  <c r="J66" i="2"/>
  <c r="O62" i="2"/>
  <c r="P59" i="2"/>
  <c r="U55" i="2"/>
  <c r="S56" i="2"/>
  <c r="S58" i="2"/>
  <c r="S59" i="2"/>
  <c r="S62" i="2"/>
  <c r="P65" i="2"/>
  <c r="P66" i="2"/>
  <c r="P69" i="2"/>
  <c r="P72" i="2"/>
  <c r="P73" i="2"/>
  <c r="AB73" i="2"/>
  <c r="AG56" i="2"/>
  <c r="AD73" i="2"/>
  <c r="O63" i="2"/>
  <c r="L69" i="2"/>
  <c r="V55" i="2"/>
  <c r="U58" i="2"/>
  <c r="U59" i="2"/>
  <c r="U62" i="2"/>
  <c r="R65" i="2"/>
  <c r="R66" i="2"/>
  <c r="R69" i="2"/>
  <c r="AB58" i="2"/>
  <c r="AB61" i="2"/>
  <c r="Y68" i="2"/>
  <c r="Y72" i="2"/>
  <c r="AD58" i="2"/>
  <c r="AD60" i="2"/>
  <c r="AA67" i="2"/>
  <c r="AA68" i="2"/>
  <c r="AE58" i="2"/>
  <c r="AE60" i="2"/>
  <c r="AE61" i="2"/>
  <c r="AB65" i="2"/>
  <c r="AB68" i="2"/>
  <c r="AB70" i="2"/>
  <c r="AB71" i="2"/>
  <c r="AD64" i="2"/>
  <c r="AH57" i="2"/>
  <c r="AH61" i="2"/>
  <c r="AH63" i="2"/>
  <c r="AE67" i="2"/>
  <c r="AE68" i="2"/>
  <c r="B60" i="2"/>
  <c r="B70" i="2"/>
  <c r="AJ56" i="2"/>
  <c r="AJ57" i="2"/>
  <c r="AJ63" i="2"/>
  <c r="AG67" i="2"/>
  <c r="AG70" i="2"/>
  <c r="AG71" i="2"/>
  <c r="C70" i="2"/>
  <c r="AK56" i="2"/>
  <c r="AH64" i="2"/>
  <c r="AH71" i="2"/>
  <c r="AD74" i="2"/>
  <c r="I60" i="2"/>
  <c r="AJ64" i="2"/>
  <c r="AJ67" i="2"/>
  <c r="AJ70" i="2"/>
  <c r="C61" i="2"/>
  <c r="J56" i="2"/>
  <c r="J60" i="2"/>
  <c r="L56" i="2"/>
  <c r="L60" i="2"/>
  <c r="L62" i="2"/>
  <c r="L63" i="2"/>
  <c r="I66" i="2"/>
  <c r="I73" i="2"/>
  <c r="AH74" i="2"/>
  <c r="B63" i="2"/>
  <c r="M56" i="2"/>
  <c r="AJ74" i="2"/>
  <c r="C63" i="2"/>
  <c r="I74" i="2"/>
  <c r="AK74" i="2"/>
  <c r="AB67" i="2"/>
  <c r="AG60" i="2"/>
  <c r="AD71" i="2"/>
  <c r="AE64" i="2"/>
  <c r="AA74" i="2"/>
  <c r="AG64" i="2"/>
  <c r="C60" i="2"/>
  <c r="B61" i="2"/>
  <c r="AE74" i="2"/>
  <c r="AE71" i="2"/>
  <c r="AG73" i="2"/>
  <c r="B71" i="2"/>
  <c r="AG74" i="2"/>
  <c r="Y71" i="2"/>
  <c r="AG63" i="2"/>
  <c r="Y74" i="2"/>
  <c r="AK64" i="2"/>
  <c r="AK73" i="2"/>
  <c r="B72" i="2"/>
  <c r="AB64" i="2"/>
  <c r="AB74" i="2"/>
  <c r="C71" i="2"/>
  <c r="DJ21" i="2"/>
  <c r="DN19" i="2"/>
  <c r="CX17" i="2"/>
  <c r="DD17" i="2"/>
  <c r="CX24" i="2"/>
  <c r="DH16" i="2"/>
  <c r="DD21" i="2"/>
  <c r="CT25" i="2"/>
  <c r="DP19" i="2"/>
  <c r="DD11" i="2"/>
  <c r="DJ19" i="2"/>
  <c r="DL18" i="2"/>
  <c r="CT16" i="2"/>
  <c r="DF13" i="2"/>
  <c r="DJ11" i="2"/>
  <c r="DN9" i="2"/>
  <c r="CT8" i="2"/>
  <c r="DL19" i="2"/>
  <c r="DL17" i="2"/>
  <c r="DL13" i="2"/>
  <c r="DB22" i="2"/>
  <c r="DP15" i="2"/>
  <c r="DB13" i="2"/>
  <c r="CZ13" i="2"/>
  <c r="DN13" i="2"/>
  <c r="CZ10" i="2"/>
  <c r="DL9" i="2"/>
  <c r="DJ14" i="2"/>
  <c r="DP7" i="2"/>
  <c r="CX10" i="2"/>
  <c r="DF11" i="2"/>
  <c r="DN7" i="2"/>
  <c r="DL7" i="2"/>
  <c r="DN14" i="2"/>
  <c r="DD9" i="2"/>
  <c r="CT11" i="2"/>
  <c r="DH14" i="2"/>
  <c r="CX23" i="2"/>
  <c r="DJ9" i="2"/>
  <c r="DH9" i="2"/>
  <c r="CZ11" i="2"/>
  <c r="DH7" i="2"/>
  <c r="CZ9" i="2"/>
  <c r="CT20" i="2"/>
  <c r="DP11" i="2"/>
  <c r="CT13" i="2"/>
  <c r="DN12" i="2"/>
  <c r="CT17" i="2"/>
  <c r="DD13" i="2"/>
  <c r="DH11" i="2"/>
  <c r="DB21" i="2"/>
  <c r="DJ23" i="2"/>
  <c r="DF10" i="2"/>
  <c r="DJ8" i="2"/>
  <c r="DP14" i="2"/>
  <c r="CT14" i="2"/>
  <c r="CX13" i="2"/>
  <c r="CZ12" i="2"/>
  <c r="DB11" i="2"/>
  <c r="DD10" i="2"/>
  <c r="DF9" i="2"/>
  <c r="DH8" i="2"/>
  <c r="DJ7" i="2"/>
  <c r="DF23" i="2"/>
  <c r="DH18" i="2"/>
  <c r="DB16" i="2"/>
  <c r="DL14" i="2"/>
  <c r="DP12" i="2"/>
  <c r="CT12" i="2"/>
  <c r="CX11" i="2"/>
  <c r="DB9" i="2"/>
  <c r="DD8" i="2"/>
  <c r="DF7" i="2"/>
  <c r="DF19" i="2"/>
  <c r="CX8" i="2"/>
  <c r="DH23" i="2"/>
  <c r="DD16" i="2"/>
  <c r="DB12" i="2"/>
  <c r="CZ8" i="2"/>
  <c r="DN16" i="2"/>
  <c r="DN25" i="2"/>
  <c r="DD20" i="2"/>
  <c r="DJ17" i="2"/>
  <c r="DP13" i="2"/>
  <c r="DL25" i="2"/>
  <c r="DF18" i="2"/>
  <c r="DP22" i="2"/>
  <c r="DB19" i="2"/>
  <c r="DN22" i="2"/>
  <c r="BO10" i="2"/>
  <c r="BA10" i="2" s="1"/>
  <c r="DB7" i="2"/>
  <c r="DF25" i="2"/>
  <c r="CX19" i="2"/>
  <c r="DH13" i="2"/>
  <c r="DL11" i="2"/>
  <c r="DP9" i="2"/>
  <c r="DN20" i="2"/>
  <c r="CZ17" i="2"/>
  <c r="DH12" i="2"/>
  <c r="DP8" i="2"/>
  <c r="DD24" i="2"/>
  <c r="DF12" i="2"/>
  <c r="DN8" i="2"/>
  <c r="DL8" i="2"/>
  <c r="CX25" i="2"/>
  <c r="CZ24" i="2"/>
  <c r="DF21" i="2"/>
  <c r="DN17" i="2"/>
  <c r="DP16" i="2"/>
  <c r="CX12" i="2"/>
  <c r="BT22" i="2"/>
  <c r="BO23" i="2"/>
  <c r="DD19" i="2"/>
  <c r="DB8" i="2"/>
  <c r="BP10" i="2"/>
  <c r="BB10" i="2" s="1"/>
  <c r="DJ13" i="2"/>
  <c r="DL12" i="2"/>
  <c r="DN11" i="2"/>
  <c r="DP10" i="2"/>
  <c r="BR9" i="2"/>
  <c r="BE9" i="2" s="1"/>
  <c r="DP20" i="2"/>
  <c r="CZ18" i="2"/>
  <c r="DJ12" i="2"/>
  <c r="DN10" i="2"/>
  <c r="CZ7" i="2"/>
  <c r="DD25" i="2"/>
  <c r="DL21" i="2"/>
  <c r="CX18" i="2"/>
  <c r="DD14" i="2"/>
  <c r="DL10" i="2"/>
  <c r="DL20" i="2"/>
  <c r="DJ10" i="2"/>
  <c r="CT7" i="2"/>
  <c r="CZ14" i="2"/>
  <c r="DD12" i="2"/>
  <c r="DH10" i="2"/>
  <c r="DP25" i="2"/>
  <c r="CZ23" i="2"/>
  <c r="DJ18" i="2"/>
  <c r="DP24" i="2"/>
  <c r="CZ22" i="2"/>
  <c r="DN15" i="2"/>
  <c r="DB10" i="2"/>
  <c r="DF8" i="2"/>
  <c r="BS22" i="2"/>
  <c r="DL15" i="2"/>
  <c r="DJ25" i="2"/>
  <c r="CT22" i="2"/>
  <c r="DJ15" i="2"/>
  <c r="DD7" i="2"/>
  <c r="CZ19" i="2"/>
  <c r="BS9" i="2"/>
  <c r="BJ9" i="2" s="1"/>
  <c r="DN21" i="2"/>
  <c r="DB17" i="2"/>
  <c r="DF14" i="2"/>
  <c r="BQ9" i="2"/>
  <c r="BD9" i="2" s="1"/>
  <c r="CX7" i="2"/>
  <c r="DB25" i="2"/>
  <c r="DB14" i="2"/>
  <c r="BR14" i="2"/>
  <c r="BE14" i="2" s="1"/>
  <c r="BP23" i="2"/>
  <c r="DP23" i="2"/>
  <c r="CZ21" i="2"/>
  <c r="DB20" i="2"/>
  <c r="CT10" i="2"/>
  <c r="DN23" i="2"/>
  <c r="CX21" i="2"/>
  <c r="CZ20" i="2"/>
  <c r="BP21" i="2"/>
  <c r="BT20" i="2"/>
  <c r="CT23" i="2"/>
  <c r="DJ24" i="2"/>
  <c r="BQ21" i="2"/>
  <c r="CX20" i="2"/>
  <c r="BP20" i="2"/>
  <c r="DL22" i="2"/>
  <c r="BO20" i="2"/>
  <c r="DH15" i="2"/>
  <c r="BS14" i="2"/>
  <c r="BJ14" i="2" s="1"/>
  <c r="DJ22" i="2"/>
  <c r="DF15" i="2"/>
  <c r="DP18" i="2"/>
  <c r="BO18" i="2"/>
  <c r="BA18" i="2" s="1"/>
  <c r="BS17" i="2"/>
  <c r="BJ17" i="2" s="1"/>
  <c r="DD15" i="2"/>
  <c r="CX9" i="2"/>
  <c r="BT17" i="2"/>
  <c r="BK17" i="2" s="1"/>
  <c r="BQ14" i="2"/>
  <c r="BD14" i="2" s="1"/>
  <c r="CT9" i="2"/>
  <c r="DB24" i="2"/>
  <c r="DD23" i="2"/>
  <c r="DF22" i="2"/>
  <c r="DN18" i="2"/>
  <c r="CZ16" i="2"/>
  <c r="DB15" i="2"/>
  <c r="DH17" i="2"/>
  <c r="BT9" i="2"/>
  <c r="BK9" i="2" s="1"/>
  <c r="DJ16" i="2"/>
  <c r="DL23" i="2"/>
  <c r="DF16" i="2"/>
  <c r="CT19" i="2"/>
  <c r="BT14" i="2"/>
  <c r="BK14" i="2" s="1"/>
  <c r="DH22" i="2"/>
  <c r="BT13" i="2"/>
  <c r="BK13" i="2" s="1"/>
  <c r="BR17" i="2"/>
  <c r="BE17" i="2" s="1"/>
  <c r="BO14" i="2"/>
  <c r="BA14" i="2" s="1"/>
  <c r="DB23" i="2"/>
  <c r="CZ15" i="2"/>
  <c r="BT12" i="2"/>
  <c r="BK12" i="2" s="1"/>
  <c r="BP25" i="2"/>
  <c r="BP17" i="2"/>
  <c r="BB17" i="2" s="1"/>
  <c r="BP16" i="2"/>
  <c r="BB16" i="2" s="1"/>
  <c r="BT15" i="2"/>
  <c r="BK15" i="2" s="1"/>
  <c r="DL24" i="2"/>
  <c r="DF17" i="2"/>
  <c r="DB18" i="2"/>
  <c r="BP9" i="2"/>
  <c r="BB9" i="2" s="1"/>
  <c r="BP22" i="2"/>
  <c r="BP18" i="2"/>
  <c r="BB18" i="2" s="1"/>
  <c r="BT25" i="2"/>
  <c r="DD22" i="2"/>
  <c r="BQ17" i="2"/>
  <c r="BD17" i="2" s="1"/>
  <c r="BO12" i="2"/>
  <c r="BA12" i="2" s="1"/>
  <c r="CX14" i="2"/>
  <c r="BO25" i="2"/>
  <c r="DF20" i="2"/>
  <c r="BQ16" i="2"/>
  <c r="BD16" i="2" s="1"/>
  <c r="BS15" i="2"/>
  <c r="BJ15" i="2" s="1"/>
  <c r="DN24" i="2"/>
  <c r="DL16" i="2"/>
  <c r="DD18" i="2"/>
  <c r="DP21" i="2"/>
  <c r="BO9" i="2"/>
  <c r="BA9" i="2" s="1"/>
  <c r="DP6" i="2"/>
  <c r="DH20" i="2"/>
  <c r="BT11" i="2"/>
  <c r="BK11" i="2" s="1"/>
  <c r="BT24" i="2"/>
  <c r="BP15" i="2"/>
  <c r="BB15" i="2" s="1"/>
  <c r="DH25" i="2"/>
  <c r="BT8" i="2"/>
  <c r="BR22" i="2"/>
  <c r="BQ8" i="2"/>
  <c r="DH24" i="2"/>
  <c r="BP7" i="2"/>
  <c r="BP19" i="2"/>
  <c r="BB19" i="2" s="1"/>
  <c r="BO7" i="2"/>
  <c r="DF24" i="2"/>
  <c r="BP14" i="2"/>
  <c r="BB14" i="2" s="1"/>
  <c r="BO13" i="2"/>
  <c r="BA13" i="2" s="1"/>
  <c r="CT18" i="2"/>
  <c r="BS25" i="2"/>
  <c r="BO11" i="2"/>
  <c r="BA11" i="2" s="1"/>
  <c r="BQ24" i="2"/>
  <c r="BO15" i="2"/>
  <c r="BA15" i="2" s="1"/>
  <c r="BQ22" i="2"/>
  <c r="BT19" i="2"/>
  <c r="BK19" i="2" s="1"/>
  <c r="BO22" i="2"/>
  <c r="BS19" i="2"/>
  <c r="BJ19" i="2" s="1"/>
  <c r="BR24" i="2"/>
  <c r="BR19" i="2"/>
  <c r="BE19" i="2" s="1"/>
  <c r="BQ19" i="2"/>
  <c r="BD19" i="2" s="1"/>
  <c r="BT21" i="2"/>
  <c r="BS21" i="2"/>
  <c r="BO19" i="2"/>
  <c r="BA19" i="2" s="1"/>
  <c r="BR21" i="2"/>
  <c r="CT21" i="2"/>
  <c r="BT23" i="2"/>
  <c r="BO21" i="2"/>
  <c r="BS18" i="2"/>
  <c r="BJ18" i="2" s="1"/>
  <c r="BO16" i="2"/>
  <c r="BA16" i="2" s="1"/>
  <c r="BR23" i="2"/>
  <c r="BR18" i="2"/>
  <c r="BE18" i="2" s="1"/>
  <c r="BQ23" i="2"/>
  <c r="BQ18" i="2"/>
  <c r="BD18" i="2" s="1"/>
  <c r="BP24" i="2"/>
  <c r="BS16" i="2"/>
  <c r="BJ16" i="2" s="1"/>
  <c r="BS23" i="2"/>
  <c r="CX15" i="2"/>
  <c r="CT24" i="2"/>
  <c r="BR25" i="2"/>
  <c r="BR20" i="2"/>
  <c r="BR15" i="2"/>
  <c r="BE15" i="2" s="1"/>
  <c r="BO17" i="2"/>
  <c r="BA17" i="2" s="1"/>
  <c r="BT16" i="2"/>
  <c r="BK16" i="2" s="1"/>
  <c r="BO24" i="2"/>
  <c r="CT15" i="2"/>
  <c r="CX22" i="2"/>
  <c r="BQ25" i="2"/>
  <c r="BQ20" i="2"/>
  <c r="BQ15" i="2"/>
  <c r="BD15" i="2" s="1"/>
  <c r="BR16" i="2"/>
  <c r="BE16" i="2" s="1"/>
  <c r="BS20" i="2"/>
  <c r="BS24" i="2"/>
  <c r="BT18" i="2"/>
  <c r="BK18" i="2" s="1"/>
  <c r="BP11" i="2"/>
  <c r="BB11" i="2" s="1"/>
  <c r="BS13" i="2"/>
  <c r="BJ13" i="2" s="1"/>
  <c r="BS8" i="2"/>
  <c r="BR8" i="2"/>
  <c r="BQ13" i="2"/>
  <c r="BD13" i="2" s="1"/>
  <c r="BP8" i="2"/>
  <c r="BS10" i="2"/>
  <c r="BJ10" i="2" s="1"/>
  <c r="BR7" i="2"/>
  <c r="BS11" i="2"/>
  <c r="BJ11" i="2" s="1"/>
  <c r="BR11" i="2"/>
  <c r="BE11" i="2" s="1"/>
  <c r="BQ11" i="2"/>
  <c r="BD11" i="2" s="1"/>
  <c r="BR13" i="2"/>
  <c r="BE13" i="2" s="1"/>
  <c r="BP13" i="2"/>
  <c r="BB13" i="2" s="1"/>
  <c r="BO8" i="2"/>
  <c r="BR10" i="2"/>
  <c r="BE10" i="2" s="1"/>
  <c r="BT7" i="2"/>
  <c r="BQ12" i="2"/>
  <c r="BD12" i="2" s="1"/>
  <c r="BQ7" i="2"/>
  <c r="BT10" i="2"/>
  <c r="BK10" i="2" s="1"/>
  <c r="BQ10" i="2"/>
  <c r="BD10" i="2" s="1"/>
  <c r="BR12" i="2"/>
  <c r="BE12" i="2" s="1"/>
  <c r="BP12" i="2"/>
  <c r="BB12" i="2" s="1"/>
  <c r="BS12" i="2"/>
  <c r="BJ12" i="2" s="1"/>
  <c r="BS7" i="2"/>
  <c r="DP5" i="2"/>
  <c r="L80" i="1"/>
  <c r="E147" i="2" l="1"/>
  <c r="AO122" i="2"/>
  <c r="G136" i="2"/>
  <c r="G139" i="2"/>
  <c r="E136" i="2"/>
  <c r="AO123" i="2"/>
  <c r="G146" i="2"/>
  <c r="E140" i="2"/>
  <c r="G140" i="2"/>
  <c r="AO121" i="2"/>
  <c r="G141" i="2"/>
  <c r="E141" i="2"/>
  <c r="E142" i="2"/>
  <c r="E145" i="2"/>
  <c r="AO119" i="2"/>
  <c r="AO116" i="2"/>
  <c r="G144" i="2"/>
  <c r="V178" i="2"/>
  <c r="S195" i="2"/>
  <c r="R170" i="2"/>
  <c r="L196" i="2"/>
  <c r="AK178" i="2"/>
  <c r="AH194" i="2"/>
  <c r="C169" i="2"/>
  <c r="AD170" i="2"/>
  <c r="X170" i="2"/>
  <c r="Y196" i="2"/>
  <c r="AK196" i="2"/>
  <c r="B170" i="2"/>
  <c r="R168" i="2"/>
  <c r="AB170" i="2"/>
  <c r="X169" i="2"/>
  <c r="AB169" i="2"/>
  <c r="AG95" i="2"/>
  <c r="C170" i="2"/>
  <c r="AE195" i="2"/>
  <c r="M196" i="2"/>
  <c r="X163" i="2"/>
  <c r="X194" i="2"/>
  <c r="AH170" i="2"/>
  <c r="Y170" i="2"/>
  <c r="R169" i="2"/>
  <c r="J196" i="2"/>
  <c r="J170" i="2"/>
  <c r="AG196" i="2"/>
  <c r="U163" i="2"/>
  <c r="U194" i="2"/>
  <c r="U195" i="2"/>
  <c r="AH168" i="2"/>
  <c r="M170" i="2"/>
  <c r="V163" i="2"/>
  <c r="V194" i="2"/>
  <c r="I195" i="2"/>
  <c r="AE170" i="2"/>
  <c r="V195" i="2"/>
  <c r="C178" i="2"/>
  <c r="C193" i="2"/>
  <c r="AQ193" i="2" s="1"/>
  <c r="C168" i="2"/>
  <c r="B169" i="2"/>
  <c r="X195" i="2"/>
  <c r="U169" i="2"/>
  <c r="R163" i="2"/>
  <c r="R194" i="2"/>
  <c r="L163" i="2"/>
  <c r="L194" i="2"/>
  <c r="L185" i="2"/>
  <c r="AK163" i="2"/>
  <c r="AK194" i="2"/>
  <c r="AQ71" i="2"/>
  <c r="I173" i="2"/>
  <c r="I194" i="2"/>
  <c r="AA195" i="2"/>
  <c r="B196" i="2"/>
  <c r="I98" i="2"/>
  <c r="L180" i="2"/>
  <c r="L170" i="2"/>
  <c r="U196" i="2"/>
  <c r="O185" i="2"/>
  <c r="AG195" i="2"/>
  <c r="AE169" i="2"/>
  <c r="J195" i="2"/>
  <c r="S185" i="2"/>
  <c r="M195" i="2"/>
  <c r="U178" i="2"/>
  <c r="AJ196" i="2"/>
  <c r="P163" i="2"/>
  <c r="P194" i="2"/>
  <c r="J169" i="2"/>
  <c r="AJ195" i="2"/>
  <c r="AJ170" i="2"/>
  <c r="O194" i="2"/>
  <c r="AA169" i="2"/>
  <c r="O178" i="2"/>
  <c r="AA170" i="2"/>
  <c r="P195" i="2"/>
  <c r="AK170" i="2"/>
  <c r="AH195" i="2"/>
  <c r="AD195" i="2"/>
  <c r="O170" i="2"/>
  <c r="B178" i="2"/>
  <c r="B193" i="2"/>
  <c r="AP193" i="2" s="1"/>
  <c r="B168" i="2"/>
  <c r="O168" i="2"/>
  <c r="J173" i="2"/>
  <c r="J194" i="2"/>
  <c r="AH196" i="2"/>
  <c r="P170" i="2"/>
  <c r="AD169" i="2"/>
  <c r="V169" i="2"/>
  <c r="X196" i="2"/>
  <c r="B194" i="2"/>
  <c r="S163" i="2"/>
  <c r="S194" i="2"/>
  <c r="AG170" i="2"/>
  <c r="P178" i="2"/>
  <c r="S169" i="2"/>
  <c r="S170" i="2"/>
  <c r="M175" i="2"/>
  <c r="B195" i="2"/>
  <c r="AA194" i="2"/>
  <c r="U168" i="2"/>
  <c r="AK169" i="2"/>
  <c r="P169" i="2"/>
  <c r="AH169" i="2"/>
  <c r="O196" i="2"/>
  <c r="V168" i="2"/>
  <c r="AE163" i="2"/>
  <c r="AE194" i="2"/>
  <c r="P196" i="2"/>
  <c r="V196" i="2"/>
  <c r="I196" i="2"/>
  <c r="C196" i="2"/>
  <c r="C195" i="2"/>
  <c r="L195" i="2"/>
  <c r="AJ169" i="2"/>
  <c r="V170" i="2"/>
  <c r="C194" i="2"/>
  <c r="I170" i="2"/>
  <c r="Y178" i="2"/>
  <c r="Y194" i="2"/>
  <c r="L169" i="2"/>
  <c r="AB195" i="2"/>
  <c r="O169" i="2"/>
  <c r="AK195" i="2"/>
  <c r="S196" i="2"/>
  <c r="AB196" i="2"/>
  <c r="I169" i="2"/>
  <c r="L178" i="2"/>
  <c r="Y195" i="2"/>
  <c r="M163" i="2"/>
  <c r="M194" i="2"/>
  <c r="AA196" i="2"/>
  <c r="AE196" i="2"/>
  <c r="Y163" i="2"/>
  <c r="X168" i="2"/>
  <c r="O195" i="2"/>
  <c r="AG163" i="2"/>
  <c r="AG194" i="2"/>
  <c r="R196" i="2"/>
  <c r="P185" i="2"/>
  <c r="AJ163" i="2"/>
  <c r="AJ194" i="2"/>
  <c r="Y173" i="2"/>
  <c r="Y169" i="2"/>
  <c r="M169" i="2"/>
  <c r="AG169" i="2"/>
  <c r="X98" i="2"/>
  <c r="AB173" i="2"/>
  <c r="AB194" i="2"/>
  <c r="U170" i="2"/>
  <c r="AD178" i="2"/>
  <c r="AD194" i="2"/>
  <c r="AD196" i="2"/>
  <c r="R195" i="2"/>
  <c r="S168" i="2"/>
  <c r="AP73" i="2"/>
  <c r="AQ68" i="2"/>
  <c r="L179" i="2"/>
  <c r="M178" i="2"/>
  <c r="AA183" i="2"/>
  <c r="AJ178" i="2"/>
  <c r="B179" i="2"/>
  <c r="AE179" i="2"/>
  <c r="AH179" i="2"/>
  <c r="Y179" i="2"/>
  <c r="M180" i="2"/>
  <c r="O179" i="2"/>
  <c r="I179" i="2"/>
  <c r="U180" i="2"/>
  <c r="C180" i="2"/>
  <c r="J178" i="2"/>
  <c r="B180" i="2"/>
  <c r="AG179" i="2"/>
  <c r="P184" i="2"/>
  <c r="R179" i="2"/>
  <c r="AG178" i="2"/>
  <c r="P180" i="2"/>
  <c r="AH180" i="2"/>
  <c r="C179" i="2"/>
  <c r="AH183" i="2"/>
  <c r="P179" i="2"/>
  <c r="V183" i="2"/>
  <c r="AE178" i="2"/>
  <c r="AJ179" i="2"/>
  <c r="X180" i="2"/>
  <c r="AB183" i="2"/>
  <c r="AK180" i="2"/>
  <c r="U183" i="2"/>
  <c r="U179" i="2"/>
  <c r="V179" i="2"/>
  <c r="AB180" i="2"/>
  <c r="J180" i="2"/>
  <c r="J183" i="2"/>
  <c r="AA178" i="2"/>
  <c r="AK179" i="2"/>
  <c r="AA180" i="2"/>
  <c r="S179" i="2"/>
  <c r="O180" i="2"/>
  <c r="AD179" i="2"/>
  <c r="V180" i="2"/>
  <c r="R183" i="2"/>
  <c r="M183" i="2"/>
  <c r="O183" i="2"/>
  <c r="AE180" i="2"/>
  <c r="AA179" i="2"/>
  <c r="B163" i="2"/>
  <c r="Y180" i="2"/>
  <c r="R180" i="2"/>
  <c r="AB179" i="2"/>
  <c r="M179" i="2"/>
  <c r="AG180" i="2"/>
  <c r="X178" i="2"/>
  <c r="I178" i="2"/>
  <c r="J179" i="2"/>
  <c r="X179" i="2"/>
  <c r="AB178" i="2"/>
  <c r="I180" i="2"/>
  <c r="Y183" i="2"/>
  <c r="AD180" i="2"/>
  <c r="AJ180" i="2"/>
  <c r="S180" i="2"/>
  <c r="S178" i="2"/>
  <c r="AH178" i="2"/>
  <c r="AH184" i="2"/>
  <c r="L183" i="2"/>
  <c r="AA184" i="2"/>
  <c r="I184" i="2"/>
  <c r="AQ66" i="2"/>
  <c r="C183" i="2"/>
  <c r="AQ54" i="2"/>
  <c r="C185" i="2"/>
  <c r="AQ70" i="2"/>
  <c r="J185" i="2"/>
  <c r="AP57" i="2"/>
  <c r="AJ184" i="2"/>
  <c r="AP69" i="2"/>
  <c r="AQ73" i="2"/>
  <c r="AE183" i="2"/>
  <c r="AQ72" i="2"/>
  <c r="AQ57" i="2"/>
  <c r="S173" i="2"/>
  <c r="S183" i="2"/>
  <c r="AP62" i="2"/>
  <c r="AA185" i="2"/>
  <c r="C184" i="2"/>
  <c r="AQ58" i="2"/>
  <c r="U184" i="2"/>
  <c r="R185" i="2"/>
  <c r="AB185" i="2"/>
  <c r="B184" i="2"/>
  <c r="AP58" i="2"/>
  <c r="AK185" i="2"/>
  <c r="Y184" i="2"/>
  <c r="AQ59" i="2"/>
  <c r="V184" i="2"/>
  <c r="O184" i="2"/>
  <c r="AD185" i="2"/>
  <c r="I183" i="2"/>
  <c r="AG185" i="2"/>
  <c r="AQ69" i="2"/>
  <c r="Y185" i="2"/>
  <c r="AP56" i="2"/>
  <c r="R184" i="2"/>
  <c r="AJ183" i="2"/>
  <c r="AH185" i="2"/>
  <c r="AQ56" i="2"/>
  <c r="AP71" i="2"/>
  <c r="AD184" i="2"/>
  <c r="AQ62" i="2"/>
  <c r="J184" i="2"/>
  <c r="S98" i="2"/>
  <c r="V185" i="2"/>
  <c r="AP66" i="2"/>
  <c r="X184" i="2"/>
  <c r="M185" i="2"/>
  <c r="AQ63" i="2"/>
  <c r="AP67" i="2"/>
  <c r="I185" i="2"/>
  <c r="AQ55" i="2"/>
  <c r="AP60" i="2"/>
  <c r="AQ60" i="2"/>
  <c r="AB184" i="2"/>
  <c r="S184" i="2"/>
  <c r="X185" i="2"/>
  <c r="AQ65" i="2"/>
  <c r="L173" i="2"/>
  <c r="AP64" i="2"/>
  <c r="P183" i="2"/>
  <c r="AD183" i="2"/>
  <c r="AP63" i="2"/>
  <c r="B183" i="2"/>
  <c r="AP54" i="2"/>
  <c r="AP61" i="2"/>
  <c r="M184" i="2"/>
  <c r="AP65" i="2"/>
  <c r="AQ64" i="2"/>
  <c r="AE185" i="2"/>
  <c r="AP72" i="2"/>
  <c r="AP68" i="2"/>
  <c r="U185" i="2"/>
  <c r="AE184" i="2"/>
  <c r="AP70" i="2"/>
  <c r="B185" i="2"/>
  <c r="AP55" i="2"/>
  <c r="AG183" i="2"/>
  <c r="AQ61" i="2"/>
  <c r="AG184" i="2"/>
  <c r="L184" i="2"/>
  <c r="O173" i="2"/>
  <c r="AQ67" i="2"/>
  <c r="AK183" i="2"/>
  <c r="S188" i="2"/>
  <c r="X183" i="2"/>
  <c r="AQ74" i="2"/>
  <c r="AJ185" i="2"/>
  <c r="AP59" i="2"/>
  <c r="AK184" i="2"/>
  <c r="AP74" i="2"/>
  <c r="AA188" i="2"/>
  <c r="P188" i="2"/>
  <c r="AH95" i="2"/>
  <c r="AJ98" i="2"/>
  <c r="L98" i="2"/>
  <c r="O163" i="2"/>
  <c r="AJ173" i="2"/>
  <c r="I189" i="2"/>
  <c r="AD188" i="2"/>
  <c r="AA163" i="2"/>
  <c r="V173" i="2"/>
  <c r="AA190" i="2"/>
  <c r="L188" i="2"/>
  <c r="AE95" i="2"/>
  <c r="C173" i="2"/>
  <c r="I163" i="2"/>
  <c r="AB190" i="2"/>
  <c r="O174" i="2"/>
  <c r="AA173" i="2"/>
  <c r="AH173" i="2"/>
  <c r="M95" i="2"/>
  <c r="O189" i="2"/>
  <c r="S189" i="2"/>
  <c r="C94" i="2"/>
  <c r="X164" i="2"/>
  <c r="P190" i="2"/>
  <c r="Y188" i="2"/>
  <c r="AA98" i="2"/>
  <c r="AK94" i="2"/>
  <c r="V189" i="2"/>
  <c r="V188" i="2"/>
  <c r="B190" i="2"/>
  <c r="J189" i="2"/>
  <c r="AK164" i="2"/>
  <c r="AK190" i="2"/>
  <c r="U94" i="2"/>
  <c r="U174" i="2"/>
  <c r="AG164" i="2"/>
  <c r="I174" i="2"/>
  <c r="AD174" i="2"/>
  <c r="AD175" i="2"/>
  <c r="AD96" i="2"/>
  <c r="AD190" i="2"/>
  <c r="AG94" i="2"/>
  <c r="P165" i="2"/>
  <c r="P97" i="2"/>
  <c r="B164" i="2"/>
  <c r="AE174" i="2"/>
  <c r="C164" i="2"/>
  <c r="R189" i="2"/>
  <c r="J163" i="2"/>
  <c r="B95" i="2"/>
  <c r="O165" i="2"/>
  <c r="O97" i="2"/>
  <c r="C174" i="2"/>
  <c r="AG165" i="2"/>
  <c r="AG97" i="2"/>
  <c r="AD164" i="2"/>
  <c r="Y175" i="2"/>
  <c r="Y96" i="2"/>
  <c r="J174" i="2"/>
  <c r="X174" i="2"/>
  <c r="V164" i="2"/>
  <c r="AD163" i="2"/>
  <c r="B94" i="2"/>
  <c r="R164" i="2"/>
  <c r="S94" i="2"/>
  <c r="J175" i="2"/>
  <c r="J96" i="2"/>
  <c r="AD173" i="2"/>
  <c r="AB189" i="2"/>
  <c r="L190" i="2"/>
  <c r="AE190" i="2"/>
  <c r="O164" i="2"/>
  <c r="AJ175" i="2"/>
  <c r="AJ96" i="2"/>
  <c r="X94" i="2"/>
  <c r="S175" i="2"/>
  <c r="S96" i="2"/>
  <c r="AB175" i="2"/>
  <c r="AB96" i="2"/>
  <c r="L95" i="2"/>
  <c r="M189" i="2"/>
  <c r="P174" i="2"/>
  <c r="AH163" i="2"/>
  <c r="AB188" i="2"/>
  <c r="AE173" i="2"/>
  <c r="J164" i="2"/>
  <c r="S164" i="2"/>
  <c r="AJ95" i="2"/>
  <c r="AK189" i="2"/>
  <c r="AB174" i="2"/>
  <c r="X190" i="2"/>
  <c r="S95" i="2"/>
  <c r="AG175" i="2"/>
  <c r="AG96" i="2"/>
  <c r="M174" i="2"/>
  <c r="R173" i="2"/>
  <c r="AH188" i="2"/>
  <c r="C188" i="2"/>
  <c r="AB163" i="2"/>
  <c r="AE188" i="2"/>
  <c r="Y165" i="2"/>
  <c r="Y97" i="2"/>
  <c r="AK165" i="2"/>
  <c r="AK97" i="2"/>
  <c r="AE189" i="2"/>
  <c r="M164" i="2"/>
  <c r="O188" i="2"/>
  <c r="Y95" i="2"/>
  <c r="P94" i="2"/>
  <c r="AG98" i="2"/>
  <c r="C165" i="2"/>
  <c r="C97" i="2"/>
  <c r="AK188" i="2"/>
  <c r="AE164" i="2"/>
  <c r="U164" i="2"/>
  <c r="B188" i="2"/>
  <c r="S174" i="2"/>
  <c r="AJ164" i="2"/>
  <c r="X165" i="2"/>
  <c r="X97" i="2"/>
  <c r="AJ188" i="2"/>
  <c r="V190" i="2"/>
  <c r="U173" i="2"/>
  <c r="P189" i="2"/>
  <c r="C163" i="2"/>
  <c r="Y189" i="2"/>
  <c r="AH165" i="2"/>
  <c r="AH97" i="2"/>
  <c r="R188" i="2"/>
  <c r="AG173" i="2"/>
  <c r="AD95" i="2"/>
  <c r="AH174" i="2"/>
  <c r="M165" i="2"/>
  <c r="M97" i="2"/>
  <c r="B165" i="2"/>
  <c r="B97" i="2"/>
  <c r="AK174" i="2"/>
  <c r="AA95" i="2"/>
  <c r="L189" i="2"/>
  <c r="R175" i="2"/>
  <c r="R96" i="2"/>
  <c r="L175" i="2"/>
  <c r="L96" i="2"/>
  <c r="O94" i="2"/>
  <c r="X188" i="2"/>
  <c r="I190" i="2"/>
  <c r="I175" i="2"/>
  <c r="I96" i="2"/>
  <c r="C95" i="2"/>
  <c r="M96" i="2"/>
  <c r="M94" i="2"/>
  <c r="AA94" i="2"/>
  <c r="Y174" i="2"/>
  <c r="C190" i="2"/>
  <c r="L174" i="2"/>
  <c r="Y164" i="2"/>
  <c r="R95" i="2"/>
  <c r="M173" i="2"/>
  <c r="B98" i="2"/>
  <c r="U175" i="2"/>
  <c r="U96" i="2"/>
  <c r="U95" i="2"/>
  <c r="J165" i="2"/>
  <c r="J97" i="2"/>
  <c r="AH164" i="2"/>
  <c r="AD94" i="2"/>
  <c r="J95" i="2"/>
  <c r="Y94" i="2"/>
  <c r="I165" i="2"/>
  <c r="I97" i="2"/>
  <c r="V175" i="2"/>
  <c r="V96" i="2"/>
  <c r="AK173" i="2"/>
  <c r="X189" i="2"/>
  <c r="B189" i="2"/>
  <c r="AJ165" i="2"/>
  <c r="AJ97" i="2"/>
  <c r="S165" i="2"/>
  <c r="S97" i="2"/>
  <c r="M190" i="2"/>
  <c r="AG188" i="2"/>
  <c r="AH189" i="2"/>
  <c r="AJ190" i="2"/>
  <c r="AE175" i="2"/>
  <c r="AE96" i="2"/>
  <c r="R165" i="2"/>
  <c r="R97" i="2"/>
  <c r="X173" i="2"/>
  <c r="AB98" i="2"/>
  <c r="AB95" i="2"/>
  <c r="AK175" i="2"/>
  <c r="AK96" i="2"/>
  <c r="AE165" i="2"/>
  <c r="AE97" i="2"/>
  <c r="AD189" i="2"/>
  <c r="AE94" i="2"/>
  <c r="U189" i="2"/>
  <c r="M98" i="2"/>
  <c r="R94" i="2"/>
  <c r="J190" i="2"/>
  <c r="AA164" i="2"/>
  <c r="O190" i="2"/>
  <c r="M188" i="2"/>
  <c r="I164" i="2"/>
  <c r="B175" i="2"/>
  <c r="B96" i="2"/>
  <c r="U98" i="2"/>
  <c r="R174" i="2"/>
  <c r="AD165" i="2"/>
  <c r="AD97" i="2"/>
  <c r="P164" i="2"/>
  <c r="AA174" i="2"/>
  <c r="O175" i="2"/>
  <c r="O96" i="2"/>
  <c r="Y98" i="2"/>
  <c r="J94" i="2"/>
  <c r="V174" i="2"/>
  <c r="O95" i="2"/>
  <c r="AB165" i="2"/>
  <c r="AB97" i="2"/>
  <c r="U190" i="2"/>
  <c r="AB164" i="2"/>
  <c r="I95" i="2"/>
  <c r="AH98" i="2"/>
  <c r="AG189" i="2"/>
  <c r="AH175" i="2"/>
  <c r="AH96" i="2"/>
  <c r="V165" i="2"/>
  <c r="V97" i="2"/>
  <c r="B174" i="2"/>
  <c r="P98" i="2"/>
  <c r="J188" i="2"/>
  <c r="P175" i="2"/>
  <c r="P96" i="2"/>
  <c r="AH94" i="2"/>
  <c r="AG174" i="2"/>
  <c r="B173" i="2"/>
  <c r="P173" i="2"/>
  <c r="C175" i="2"/>
  <c r="C96" i="2"/>
  <c r="V95" i="2"/>
  <c r="AJ174" i="2"/>
  <c r="AH190" i="2"/>
  <c r="V94" i="2"/>
  <c r="J98" i="2"/>
  <c r="I94" i="2"/>
  <c r="O98" i="2"/>
  <c r="I188" i="2"/>
  <c r="AE98" i="2"/>
  <c r="Y190" i="2"/>
  <c r="X175" i="2"/>
  <c r="X96" i="2"/>
  <c r="L94" i="2"/>
  <c r="L164" i="2"/>
  <c r="X95" i="2"/>
  <c r="U188" i="2"/>
  <c r="C189" i="2"/>
  <c r="AA165" i="2"/>
  <c r="AA97" i="2"/>
  <c r="L165" i="2"/>
  <c r="L97" i="2"/>
  <c r="AJ189" i="2"/>
  <c r="AJ94" i="2"/>
  <c r="AA175" i="2"/>
  <c r="AA96" i="2"/>
  <c r="S190" i="2"/>
  <c r="AK98" i="2"/>
  <c r="AK100" i="2" s="1"/>
  <c r="AD98" i="2"/>
  <c r="AB94" i="2"/>
  <c r="AG190" i="2"/>
  <c r="AK95" i="2"/>
  <c r="AA189" i="2"/>
  <c r="U165" i="2"/>
  <c r="U97" i="2"/>
  <c r="R98" i="2"/>
  <c r="V98" i="2"/>
  <c r="P95" i="2"/>
  <c r="R190" i="2"/>
  <c r="C98" i="2"/>
  <c r="BC10" i="2"/>
  <c r="BC13" i="2"/>
  <c r="BC17" i="2"/>
  <c r="BC12" i="2"/>
  <c r="BC18" i="2"/>
  <c r="BC9" i="2"/>
  <c r="BC15" i="2"/>
  <c r="BC11" i="2"/>
  <c r="BC16" i="2"/>
  <c r="BC14" i="2"/>
  <c r="BC19" i="2"/>
  <c r="DN6" i="2"/>
  <c r="AJ100" i="2" l="1"/>
  <c r="AQ168" i="2"/>
  <c r="P100" i="2"/>
  <c r="AP168" i="2"/>
  <c r="AQ194" i="2"/>
  <c r="AP196" i="2"/>
  <c r="AQ196" i="2"/>
  <c r="AP194" i="2"/>
  <c r="AP195" i="2"/>
  <c r="X100" i="2"/>
  <c r="AQ180" i="2"/>
  <c r="AQ195" i="2"/>
  <c r="I100" i="2"/>
  <c r="AQ170" i="2"/>
  <c r="AP170" i="2"/>
  <c r="AQ179" i="2"/>
  <c r="AQ169" i="2"/>
  <c r="AP169" i="2"/>
  <c r="AP180" i="2"/>
  <c r="AP163" i="2"/>
  <c r="AP179" i="2"/>
  <c r="AQ165" i="2"/>
  <c r="AQ178" i="2"/>
  <c r="AP178" i="2"/>
  <c r="AP174" i="2"/>
  <c r="AD100" i="2"/>
  <c r="AQ164" i="2"/>
  <c r="AP96" i="2"/>
  <c r="AQ163" i="2"/>
  <c r="S100" i="2"/>
  <c r="AQ96" i="2"/>
  <c r="AQ98" i="2"/>
  <c r="AQ175" i="2"/>
  <c r="AP98" i="2"/>
  <c r="AP190" i="2"/>
  <c r="AP164" i="2"/>
  <c r="AP94" i="2"/>
  <c r="AQ183" i="2"/>
  <c r="M100" i="2"/>
  <c r="AQ188" i="2"/>
  <c r="AP185" i="2"/>
  <c r="AQ95" i="2"/>
  <c r="AP184" i="2"/>
  <c r="AP175" i="2"/>
  <c r="AQ185" i="2"/>
  <c r="AQ94" i="2"/>
  <c r="AQ184" i="2"/>
  <c r="AQ189" i="2"/>
  <c r="AP173" i="2"/>
  <c r="AP183" i="2"/>
  <c r="AP95" i="2"/>
  <c r="AQ174" i="2"/>
  <c r="AQ173" i="2"/>
  <c r="AP97" i="2"/>
  <c r="AP188" i="2"/>
  <c r="Y100" i="2"/>
  <c r="AP189" i="2"/>
  <c r="AP165" i="2"/>
  <c r="AQ190" i="2"/>
  <c r="L100" i="2"/>
  <c r="AA100" i="2"/>
  <c r="AQ97" i="2"/>
  <c r="V100" i="2"/>
  <c r="C100" i="2"/>
  <c r="B100" i="2"/>
  <c r="R100" i="2"/>
  <c r="AE100" i="2"/>
  <c r="O100" i="2"/>
  <c r="AG100" i="2"/>
  <c r="AB100" i="2"/>
  <c r="U100" i="2"/>
  <c r="J100" i="2"/>
  <c r="AH100" i="2"/>
  <c r="DN5" i="2"/>
  <c r="B1" i="1"/>
  <c r="AZ53" i="4"/>
  <c r="BD53" i="4" s="1"/>
  <c r="BA53" i="4"/>
  <c r="BF53" i="4" s="1"/>
  <c r="BB53" i="4"/>
  <c r="BH53" i="4" s="1"/>
  <c r="BC53" i="4"/>
  <c r="BJ53" i="4" s="1"/>
  <c r="U23" i="4"/>
  <c r="U22" i="4"/>
  <c r="U21" i="4"/>
  <c r="U20" i="4"/>
  <c r="U19" i="4"/>
  <c r="U18" i="4"/>
  <c r="U17" i="4"/>
  <c r="U16" i="4"/>
  <c r="U15" i="4"/>
  <c r="P5" i="1"/>
  <c r="O5" i="1"/>
  <c r="N5" i="1"/>
  <c r="M5" i="1"/>
  <c r="L5" i="1"/>
  <c r="I5" i="1"/>
  <c r="H5" i="1"/>
  <c r="D22" i="4"/>
  <c r="AN6" i="2"/>
  <c r="AN110" i="2" s="1"/>
  <c r="AN5" i="2"/>
  <c r="AN109" i="2" s="1"/>
  <c r="AM6" i="2"/>
  <c r="AM5" i="2"/>
  <c r="I81" i="4"/>
  <c r="I80" i="4"/>
  <c r="M79" i="4"/>
  <c r="L79" i="4"/>
  <c r="I79" i="4"/>
  <c r="M78" i="4"/>
  <c r="L78" i="4"/>
  <c r="I78" i="4"/>
  <c r="BC52" i="4"/>
  <c r="BJ52" i="4" s="1"/>
  <c r="BB52" i="4"/>
  <c r="BH52" i="4" s="1"/>
  <c r="BA52" i="4"/>
  <c r="AZ52" i="4"/>
  <c r="AW52" i="4"/>
  <c r="AV52" i="4"/>
  <c r="AU52" i="4"/>
  <c r="AW5" i="4" s="1"/>
  <c r="I52" i="4"/>
  <c r="BD51" i="4"/>
  <c r="BC51" i="4"/>
  <c r="BB51" i="4"/>
  <c r="BA51" i="4"/>
  <c r="AZ51" i="4"/>
  <c r="AW51" i="4"/>
  <c r="AV51" i="4"/>
  <c r="AV4" i="4" s="1"/>
  <c r="AU51" i="4"/>
  <c r="BF51" i="4" s="1"/>
  <c r="L80" i="4" s="1"/>
  <c r="AN51" i="4"/>
  <c r="AP51" i="4" s="1"/>
  <c r="H51" i="4" s="1"/>
  <c r="H80" i="4" s="1"/>
  <c r="I51" i="4"/>
  <c r="M50" i="4"/>
  <c r="I50" i="4"/>
  <c r="BD50" i="4"/>
  <c r="L50" i="4" s="1"/>
  <c r="BC50" i="4"/>
  <c r="BB50" i="4"/>
  <c r="BA50" i="4"/>
  <c r="AZ50" i="4"/>
  <c r="AP50" i="4"/>
  <c r="H50" i="4" s="1"/>
  <c r="H79" i="4" s="1"/>
  <c r="AM50" i="4"/>
  <c r="V11" i="4"/>
  <c r="D20" i="4" s="1"/>
  <c r="AM110" i="2" l="1"/>
  <c r="AO110" i="2" s="1"/>
  <c r="AO6" i="2"/>
  <c r="AM109" i="2"/>
  <c r="AO5" i="2"/>
  <c r="AO109" i="2"/>
  <c r="H133" i="2"/>
  <c r="F133" i="2"/>
  <c r="E133" i="2"/>
  <c r="G133" i="2"/>
  <c r="G132" i="2"/>
  <c r="E132" i="2"/>
  <c r="H132" i="2"/>
  <c r="F132" i="2"/>
  <c r="AP100" i="2"/>
  <c r="AQ100" i="2"/>
  <c r="BF17" i="2"/>
  <c r="BF18" i="2"/>
  <c r="BF10" i="2"/>
  <c r="BF9" i="2"/>
  <c r="BF13" i="2"/>
  <c r="BH17" i="2"/>
  <c r="BH9" i="2"/>
  <c r="V12" i="4"/>
  <c r="J6" i="1" s="1"/>
  <c r="AV5" i="4"/>
  <c r="AX5" i="4" s="1"/>
  <c r="AW4" i="4"/>
  <c r="AX4" i="4" s="1"/>
  <c r="AY51" i="4"/>
  <c r="AN52" i="4"/>
  <c r="AM52" i="4" s="1"/>
  <c r="AY52" i="4"/>
  <c r="BF52" i="4"/>
  <c r="L81" i="4" s="1"/>
  <c r="AX51" i="4"/>
  <c r="BG51" i="4"/>
  <c r="AX52" i="4"/>
  <c r="BK52" i="4"/>
  <c r="M81" i="4"/>
  <c r="BE51" i="4"/>
  <c r="BD52" i="4"/>
  <c r="BH51" i="4"/>
  <c r="L51" i="4"/>
  <c r="BJ51" i="4"/>
  <c r="M52" i="4"/>
  <c r="BI52" i="4"/>
  <c r="AQ51" i="4"/>
  <c r="BH12" i="2" l="1"/>
  <c r="K6" i="1"/>
  <c r="P6" i="1"/>
  <c r="BH11" i="2"/>
  <c r="BF11" i="2"/>
  <c r="BG15" i="2"/>
  <c r="BH14" i="2"/>
  <c r="BH16" i="2"/>
  <c r="BH18" i="2"/>
  <c r="BF15" i="2"/>
  <c r="BH15" i="2"/>
  <c r="BF19" i="2"/>
  <c r="BF12" i="2"/>
  <c r="BH13" i="2"/>
  <c r="BG17" i="2"/>
  <c r="BG13" i="2"/>
  <c r="BL13" i="2" s="1"/>
  <c r="BF14" i="2"/>
  <c r="BG14" i="2"/>
  <c r="BL14" i="2" s="1"/>
  <c r="BG12" i="2"/>
  <c r="BL12" i="2" s="1"/>
  <c r="BG11" i="2"/>
  <c r="BL11" i="2" s="1"/>
  <c r="BG10" i="2"/>
  <c r="BL10" i="2" s="1"/>
  <c r="BG18" i="2"/>
  <c r="BG9" i="2"/>
  <c r="BH10" i="2"/>
  <c r="BG19" i="2"/>
  <c r="BL19" i="2" s="1"/>
  <c r="BF16" i="2"/>
  <c r="BH19" i="2"/>
  <c r="BG16" i="2"/>
  <c r="BL16" i="2" s="1"/>
  <c r="V13" i="4"/>
  <c r="N6" i="1"/>
  <c r="O6" i="1"/>
  <c r="M6" i="1"/>
  <c r="I6" i="1"/>
  <c r="AN53" i="4"/>
  <c r="AN54" i="4" s="1"/>
  <c r="AP54" i="4" s="1"/>
  <c r="H54" i="4" s="1"/>
  <c r="H83" i="4" s="1"/>
  <c r="L6" i="1"/>
  <c r="H6" i="1"/>
  <c r="AP52" i="4"/>
  <c r="AQ52" i="4" s="1"/>
  <c r="BG52" i="4"/>
  <c r="BK51" i="4"/>
  <c r="M80" i="4"/>
  <c r="AR51" i="4"/>
  <c r="BL51" i="4" s="1"/>
  <c r="BM51" i="4"/>
  <c r="M51" i="4"/>
  <c r="BI51" i="4"/>
  <c r="L52" i="4"/>
  <c r="BE52" i="4"/>
  <c r="BI17" i="2" l="1"/>
  <c r="BL17" i="2"/>
  <c r="BL15" i="2"/>
  <c r="BI9" i="2"/>
  <c r="BL9" i="2"/>
  <c r="BL18" i="2"/>
  <c r="BI11" i="2"/>
  <c r="BI12" i="2"/>
  <c r="BI14" i="2"/>
  <c r="BI16" i="2"/>
  <c r="AN55" i="4"/>
  <c r="AM55" i="4" s="1"/>
  <c r="AM53" i="4"/>
  <c r="BI18" i="2"/>
  <c r="BI19" i="2"/>
  <c r="BI15" i="2"/>
  <c r="BI10" i="2"/>
  <c r="BI13" i="2"/>
  <c r="AM54" i="4"/>
  <c r="AP53" i="4"/>
  <c r="AQ53" i="4" s="1"/>
  <c r="AR53" i="4" s="1"/>
  <c r="AQ54" i="4"/>
  <c r="H52" i="4"/>
  <c r="H81" i="4" s="1"/>
  <c r="AR52" i="4"/>
  <c r="BL52" i="4" s="1"/>
  <c r="BM52" i="4"/>
  <c r="AN56" i="4" l="1"/>
  <c r="AM56" i="4" s="1"/>
  <c r="AP55" i="4"/>
  <c r="H55" i="4" s="1"/>
  <c r="H84" i="4" s="1"/>
  <c r="H53" i="4"/>
  <c r="H82" i="4" s="1"/>
  <c r="AR54" i="4"/>
  <c r="AW10" i="4"/>
  <c r="AM7" i="2"/>
  <c r="AN7" i="2"/>
  <c r="AN111" i="2" s="1"/>
  <c r="DL6" i="2"/>
  <c r="AM111" i="2" l="1"/>
  <c r="AO111" i="2" s="1"/>
  <c r="AO7" i="2"/>
  <c r="F134" i="2"/>
  <c r="H134" i="2"/>
  <c r="E134" i="2"/>
  <c r="G134" i="2"/>
  <c r="AQ55" i="4"/>
  <c r="AR55" i="4" s="1"/>
  <c r="AN57" i="4"/>
  <c r="AP57" i="4" s="1"/>
  <c r="AQ57" i="4" s="1"/>
  <c r="AP56" i="4"/>
  <c r="AQ56" i="4" s="1"/>
  <c r="AR56" i="4" s="1"/>
  <c r="BK7" i="2"/>
  <c r="BJ7" i="2"/>
  <c r="BD7" i="2"/>
  <c r="BA7" i="2"/>
  <c r="BE7" i="2"/>
  <c r="BB7" i="2"/>
  <c r="DL5" i="2"/>
  <c r="AM57" i="4"/>
  <c r="AN58" i="4"/>
  <c r="AN59" i="4" s="1"/>
  <c r="H57" i="4"/>
  <c r="H86" i="4" s="1"/>
  <c r="BM53" i="4"/>
  <c r="I53" i="4"/>
  <c r="AW53" i="4"/>
  <c r="AV53" i="4"/>
  <c r="AV10" i="4" s="1"/>
  <c r="AX10" i="4" s="1"/>
  <c r="I82" i="4"/>
  <c r="L57" i="1"/>
  <c r="L59" i="1"/>
  <c r="AR57" i="4" l="1"/>
  <c r="H56" i="4"/>
  <c r="H85" i="4" s="1"/>
  <c r="BH7" i="2"/>
  <c r="BC7" i="2"/>
  <c r="BG7" i="2"/>
  <c r="BL7" i="2" s="1"/>
  <c r="BF7" i="2"/>
  <c r="AM58" i="4"/>
  <c r="AP58" i="4"/>
  <c r="H58" i="4" s="1"/>
  <c r="H87" i="4" s="1"/>
  <c r="AP59" i="4"/>
  <c r="AM59" i="4"/>
  <c r="AN60" i="4"/>
  <c r="BL53" i="4"/>
  <c r="AY53" i="4"/>
  <c r="AX53" i="4"/>
  <c r="L69" i="1"/>
  <c r="L70" i="1" s="1"/>
  <c r="BI7" i="2" l="1"/>
  <c r="AQ58" i="4"/>
  <c r="AR58" i="4" s="1"/>
  <c r="H59" i="4"/>
  <c r="H88" i="4" s="1"/>
  <c r="AQ59" i="4"/>
  <c r="AM60" i="4"/>
  <c r="AN61" i="4"/>
  <c r="AP60" i="4"/>
  <c r="AR59" i="4" l="1"/>
  <c r="H60" i="4"/>
  <c r="H89" i="4" s="1"/>
  <c r="AQ60" i="4"/>
  <c r="AR60" i="4" s="1"/>
  <c r="AP61" i="4"/>
  <c r="AM61" i="4"/>
  <c r="AN62" i="4"/>
  <c r="DJ6" i="2"/>
  <c r="DH6" i="2"/>
  <c r="DJ5" i="2"/>
  <c r="DH5" i="2"/>
  <c r="F8" i="2"/>
  <c r="E8" i="2"/>
  <c r="F5" i="2"/>
  <c r="E5" i="2"/>
  <c r="F6" i="2" l="1"/>
  <c r="F54" i="2"/>
  <c r="F9" i="2"/>
  <c r="E6" i="2"/>
  <c r="E54" i="2"/>
  <c r="E9" i="2"/>
  <c r="AN63" i="4"/>
  <c r="AP62" i="4"/>
  <c r="AM62" i="4"/>
  <c r="H61" i="4"/>
  <c r="H90" i="4" s="1"/>
  <c r="AQ61" i="4"/>
  <c r="AR61" i="4" s="1"/>
  <c r="E178" i="2" l="1"/>
  <c r="E193" i="2"/>
  <c r="E168" i="2"/>
  <c r="F178" i="2"/>
  <c r="F168" i="2"/>
  <c r="F193" i="2"/>
  <c r="F10" i="2"/>
  <c r="E10" i="2"/>
  <c r="AQ62" i="4"/>
  <c r="AR62" i="4" s="1"/>
  <c r="H62" i="4"/>
  <c r="H91" i="4" s="1"/>
  <c r="AP63" i="4"/>
  <c r="AM63" i="4"/>
  <c r="AN64" i="4"/>
  <c r="F11" i="2" l="1"/>
  <c r="E11" i="2"/>
  <c r="AQ63" i="4"/>
  <c r="AR63" i="4" s="1"/>
  <c r="H63" i="4"/>
  <c r="H92" i="4" s="1"/>
  <c r="AP64" i="4"/>
  <c r="AM64" i="4"/>
  <c r="AN65" i="4"/>
  <c r="H72" i="1"/>
  <c r="L74" i="1" s="1"/>
  <c r="I72" i="1"/>
  <c r="L75" i="1" s="1"/>
  <c r="I59" i="1"/>
  <c r="H59" i="1"/>
  <c r="H57" i="1"/>
  <c r="F12" i="2" l="1"/>
  <c r="E12" i="2"/>
  <c r="AQ64" i="4"/>
  <c r="AR64" i="4" s="1"/>
  <c r="H64" i="4"/>
  <c r="H93" i="4" s="1"/>
  <c r="AP65" i="4"/>
  <c r="AM65" i="4"/>
  <c r="AN66" i="4"/>
  <c r="I74" i="1"/>
  <c r="H78" i="1"/>
  <c r="I78" i="1"/>
  <c r="H75" i="1"/>
  <c r="H88" i="1"/>
  <c r="F13" i="2" l="1"/>
  <c r="E13" i="2"/>
  <c r="AP66" i="4"/>
  <c r="AM66" i="4"/>
  <c r="AN67" i="4"/>
  <c r="AQ65" i="4"/>
  <c r="AR65" i="4" s="1"/>
  <c r="H65" i="4"/>
  <c r="H94" i="4" s="1"/>
  <c r="I69" i="1"/>
  <c r="H69" i="1"/>
  <c r="H70" i="1" s="1"/>
  <c r="F14" i="2" l="1"/>
  <c r="E14" i="2"/>
  <c r="AM67" i="4"/>
  <c r="AN68" i="4"/>
  <c r="AP67" i="4"/>
  <c r="H66" i="4"/>
  <c r="H95" i="4" s="1"/>
  <c r="AQ66" i="4"/>
  <c r="AR66" i="4" s="1"/>
  <c r="F15" i="2" l="1"/>
  <c r="E15" i="2"/>
  <c r="AN69" i="4"/>
  <c r="AP68" i="4"/>
  <c r="AM68" i="4"/>
  <c r="H67" i="4"/>
  <c r="H96" i="4" s="1"/>
  <c r="AQ67" i="4"/>
  <c r="AR67" i="4" s="1"/>
  <c r="F16" i="2" l="1"/>
  <c r="E16" i="2"/>
  <c r="AQ68" i="4"/>
  <c r="AR68" i="4" s="1"/>
  <c r="H68" i="4"/>
  <c r="H97" i="4" s="1"/>
  <c r="AP69" i="4"/>
  <c r="AM69" i="4"/>
  <c r="AN70" i="4"/>
  <c r="F17" i="2" l="1"/>
  <c r="E17" i="2"/>
  <c r="AQ69" i="4"/>
  <c r="AR69" i="4" s="1"/>
  <c r="H69" i="4"/>
  <c r="H98" i="4" s="1"/>
  <c r="AP70" i="4"/>
  <c r="AM70" i="4"/>
  <c r="AN71" i="4"/>
  <c r="DF5" i="2"/>
  <c r="DF6" i="2"/>
  <c r="F18" i="2" l="1"/>
  <c r="E18" i="2"/>
  <c r="AM71" i="4"/>
  <c r="AP71" i="4"/>
  <c r="H70" i="4"/>
  <c r="H99" i="4" s="1"/>
  <c r="AQ70" i="4"/>
  <c r="AR70" i="4" s="1"/>
  <c r="Q57" i="1"/>
  <c r="P57" i="1"/>
  <c r="O57" i="1"/>
  <c r="N57" i="1"/>
  <c r="M57" i="1"/>
  <c r="J57" i="1"/>
  <c r="G57" i="1"/>
  <c r="J59" i="1"/>
  <c r="K59" i="1"/>
  <c r="M59" i="1"/>
  <c r="N59" i="1"/>
  <c r="O59" i="1"/>
  <c r="P59" i="1"/>
  <c r="G69" i="1"/>
  <c r="Q69" i="1"/>
  <c r="P72" i="1"/>
  <c r="L82" i="1" s="1"/>
  <c r="F19" i="2" l="1"/>
  <c r="E19" i="2"/>
  <c r="H71" i="4"/>
  <c r="H100" i="4" s="1"/>
  <c r="AQ71" i="4"/>
  <c r="AR71" i="4" s="1"/>
  <c r="P78" i="1"/>
  <c r="I82" i="1"/>
  <c r="H82" i="1"/>
  <c r="P74" i="1"/>
  <c r="P75" i="1"/>
  <c r="I79" i="1"/>
  <c r="P79" i="1"/>
  <c r="H79" i="1"/>
  <c r="L81" i="1"/>
  <c r="M69" i="1"/>
  <c r="M70" i="1" s="1"/>
  <c r="R57" i="1"/>
  <c r="I57" i="1"/>
  <c r="I70" i="1" s="1"/>
  <c r="I88" i="1"/>
  <c r="G72" i="1"/>
  <c r="L73" i="1" s="1"/>
  <c r="P69" i="1"/>
  <c r="P70" i="1" s="1"/>
  <c r="R69" i="1"/>
  <c r="K57" i="1"/>
  <c r="L77" i="1"/>
  <c r="L76" i="1"/>
  <c r="Q70" i="1"/>
  <c r="G70" i="1"/>
  <c r="O69" i="1"/>
  <c r="O70" i="1" s="1"/>
  <c r="N69" i="1"/>
  <c r="N70" i="1" s="1"/>
  <c r="F20" i="2" l="1"/>
  <c r="E20" i="2"/>
  <c r="O78" i="1"/>
  <c r="G81" i="1"/>
  <c r="O74" i="1"/>
  <c r="G80" i="1"/>
  <c r="I73" i="1"/>
  <c r="J73" i="1"/>
  <c r="K73" i="1"/>
  <c r="O73" i="1"/>
  <c r="G78" i="1"/>
  <c r="G79" i="1"/>
  <c r="H73" i="1"/>
  <c r="G75" i="1"/>
  <c r="G74" i="1"/>
  <c r="G76" i="1"/>
  <c r="J74" i="1"/>
  <c r="G77" i="1"/>
  <c r="K74" i="1"/>
  <c r="G82" i="1"/>
  <c r="P73" i="1"/>
  <c r="K78" i="1"/>
  <c r="J78" i="1"/>
  <c r="K79" i="1"/>
  <c r="O79" i="1"/>
  <c r="I76" i="1"/>
  <c r="O76" i="1"/>
  <c r="H76" i="1"/>
  <c r="P76" i="1"/>
  <c r="K76" i="1"/>
  <c r="J75" i="1"/>
  <c r="P77" i="1"/>
  <c r="O77" i="1"/>
  <c r="H77" i="1"/>
  <c r="I77" i="1"/>
  <c r="J77" i="1"/>
  <c r="K75" i="1"/>
  <c r="J79" i="1"/>
  <c r="K82" i="1"/>
  <c r="J82" i="1"/>
  <c r="H80" i="1"/>
  <c r="I80" i="1"/>
  <c r="O80" i="1"/>
  <c r="J80" i="1"/>
  <c r="K80" i="1"/>
  <c r="P80" i="1"/>
  <c r="H81" i="1"/>
  <c r="I81" i="1"/>
  <c r="K81" i="1"/>
  <c r="J81" i="1"/>
  <c r="P81" i="1"/>
  <c r="O75" i="1"/>
  <c r="O82" i="1"/>
  <c r="R70" i="1"/>
  <c r="K69" i="1"/>
  <c r="K70" i="1" s="1"/>
  <c r="J69" i="1"/>
  <c r="J70" i="1" s="1"/>
  <c r="F21" i="2" l="1"/>
  <c r="E21" i="2"/>
  <c r="DD5" i="2"/>
  <c r="F22" i="2" l="1"/>
  <c r="E22" i="2"/>
  <c r="DD6" i="2"/>
  <c r="F23" i="2" l="1"/>
  <c r="E23" i="2"/>
  <c r="DB5" i="2"/>
  <c r="F24" i="2" l="1"/>
  <c r="E24" i="2"/>
  <c r="DB6" i="2"/>
  <c r="BJ82" i="4" l="1"/>
  <c r="BF82" i="4"/>
  <c r="BQ6" i="2" l="1"/>
  <c r="BD6" i="2" s="1"/>
  <c r="BS6" i="2"/>
  <c r="BJ6" i="2" s="1"/>
  <c r="BO6" i="2"/>
  <c r="BA6" i="2" s="1"/>
  <c r="BR6" i="2"/>
  <c r="BE6" i="2" s="1"/>
  <c r="BP6" i="2"/>
  <c r="BB6" i="2" s="1"/>
  <c r="BT6" i="2"/>
  <c r="BK6" i="2" s="1"/>
  <c r="CT5" i="2"/>
  <c r="BD81" i="4" l="1"/>
  <c r="BC6" i="2"/>
  <c r="BF81" i="4"/>
  <c r="BJ81" i="4"/>
  <c r="BH81" i="4"/>
  <c r="BF6" i="2"/>
  <c r="BG6" i="2" l="1"/>
  <c r="BH6" i="2"/>
  <c r="BL6" i="2" l="1"/>
  <c r="BI6" i="2"/>
  <c r="H16" i="2"/>
  <c r="G16" i="2"/>
  <c r="H6" i="2"/>
  <c r="G6" i="2"/>
  <c r="CX6" i="2"/>
  <c r="H17" i="2" l="1"/>
  <c r="G17" i="2"/>
  <c r="G7" i="2"/>
  <c r="H7" i="2"/>
  <c r="BQ5" i="2"/>
  <c r="BD5" i="2" s="1"/>
  <c r="BO5" i="2"/>
  <c r="BA5" i="2" s="1"/>
  <c r="BS5" i="2"/>
  <c r="BJ5" i="2" s="1"/>
  <c r="BP5" i="2"/>
  <c r="BB5" i="2" s="1"/>
  <c r="BR5" i="2"/>
  <c r="BE5" i="2" s="1"/>
  <c r="BT5" i="2"/>
  <c r="BK5" i="2" s="1"/>
  <c r="BD80" i="4"/>
  <c r="BH80" i="4"/>
  <c r="CX5" i="2"/>
  <c r="BF80" i="4" l="1"/>
  <c r="H8" i="2"/>
  <c r="G8" i="2"/>
  <c r="G18" i="2"/>
  <c r="H18" i="2"/>
  <c r="BG5" i="2"/>
  <c r="BL5" i="2" s="1"/>
  <c r="BJ80" i="4"/>
  <c r="BH5" i="2"/>
  <c r="M82" i="4"/>
  <c r="BK53" i="4"/>
  <c r="BF5" i="2"/>
  <c r="CT6" i="2"/>
  <c r="H19" i="2" l="1"/>
  <c r="G19" i="2"/>
  <c r="G9" i="2"/>
  <c r="H9" i="2"/>
  <c r="BH82" i="4"/>
  <c r="M53" i="4"/>
  <c r="BI53" i="4"/>
  <c r="BD82" i="4"/>
  <c r="L53" i="4"/>
  <c r="BE53" i="4"/>
  <c r="L82" i="4"/>
  <c r="BG53" i="4"/>
  <c r="M83" i="4"/>
  <c r="BC5" i="2"/>
  <c r="H10" i="2" l="1"/>
  <c r="G10" i="2"/>
  <c r="G20" i="2"/>
  <c r="H20" i="2"/>
  <c r="L83" i="4"/>
  <c r="BD83" i="4"/>
  <c r="BD85" i="4" s="1"/>
  <c r="L54" i="4"/>
  <c r="BH83" i="4"/>
  <c r="BH85" i="4" s="1"/>
  <c r="M54" i="4"/>
  <c r="BI5" i="2"/>
  <c r="H21" i="2" l="1"/>
  <c r="G21" i="2"/>
  <c r="G11" i="2"/>
  <c r="H11" i="2"/>
  <c r="AW9" i="4"/>
  <c r="M55" i="4"/>
  <c r="BH84" i="4"/>
  <c r="H12" i="2" l="1"/>
  <c r="G12" i="2"/>
  <c r="G22" i="2"/>
  <c r="H22" i="2"/>
  <c r="L55" i="4"/>
  <c r="BD84" i="4"/>
  <c r="AM8" i="2"/>
  <c r="I54" i="4"/>
  <c r="AW54" i="4"/>
  <c r="AV54" i="4"/>
  <c r="BM54" i="4"/>
  <c r="AN8" i="2"/>
  <c r="AN112" i="2" s="1"/>
  <c r="I83" i="4"/>
  <c r="BF83" i="4"/>
  <c r="BF85" i="4" s="1"/>
  <c r="BJ83" i="4"/>
  <c r="BJ85" i="4" s="1"/>
  <c r="L56" i="4"/>
  <c r="M56" i="4"/>
  <c r="G84" i="1"/>
  <c r="AM112" i="2" l="1"/>
  <c r="AO112" i="2" s="1"/>
  <c r="AO8" i="2"/>
  <c r="F135" i="2"/>
  <c r="H135" i="2"/>
  <c r="H23" i="2"/>
  <c r="G13" i="2"/>
  <c r="BJ8" i="2"/>
  <c r="BK8" i="2"/>
  <c r="G23" i="2"/>
  <c r="H13" i="2"/>
  <c r="BE8" i="2"/>
  <c r="BB8" i="2"/>
  <c r="BA8" i="2"/>
  <c r="BD8" i="2"/>
  <c r="BH86" i="4"/>
  <c r="AT83" i="4"/>
  <c r="BD86" i="4"/>
  <c r="AV9" i="4"/>
  <c r="AX9" i="4" s="1"/>
  <c r="BL54" i="4"/>
  <c r="AX54" i="4"/>
  <c r="AY54" i="4"/>
  <c r="M57" i="4"/>
  <c r="L57" i="4"/>
  <c r="I85" i="1"/>
  <c r="I86" i="1" s="1"/>
  <c r="H85" i="1"/>
  <c r="H86" i="1" s="1"/>
  <c r="H89" i="1"/>
  <c r="H90" i="1" s="1"/>
  <c r="H91" i="1" s="1"/>
  <c r="I89" i="1"/>
  <c r="I90" i="1" s="1"/>
  <c r="I91" i="1" s="1"/>
  <c r="P85" i="1"/>
  <c r="P86" i="1" s="1"/>
  <c r="G85" i="1"/>
  <c r="G86" i="1" s="1"/>
  <c r="E135" i="2" l="1"/>
  <c r="G135" i="2"/>
  <c r="G14" i="2"/>
  <c r="H14" i="2"/>
  <c r="G24" i="2"/>
  <c r="H24" i="2"/>
  <c r="BH8" i="2"/>
  <c r="BF8" i="2"/>
  <c r="BC8" i="2"/>
  <c r="BG8" i="2"/>
  <c r="BI8" i="2" s="1"/>
  <c r="L84" i="4"/>
  <c r="M84" i="4"/>
  <c r="L58" i="4"/>
  <c r="M58" i="4"/>
  <c r="BL8" i="2" l="1"/>
  <c r="M85" i="4"/>
  <c r="L85" i="4"/>
  <c r="AW17" i="4"/>
  <c r="L59" i="4"/>
  <c r="M59" i="4"/>
  <c r="AW18" i="4" l="1"/>
  <c r="AV55" i="4"/>
  <c r="BM55" i="4"/>
  <c r="I55" i="4"/>
  <c r="BE55" i="4"/>
  <c r="AW55" i="4"/>
  <c r="BI55" i="4"/>
  <c r="L86" i="4"/>
  <c r="BF84" i="4"/>
  <c r="BJ84" i="4"/>
  <c r="BG55" i="4"/>
  <c r="I84" i="4"/>
  <c r="BK55" i="4"/>
  <c r="M86" i="4"/>
  <c r="M60" i="4"/>
  <c r="L60" i="4"/>
  <c r="I85" i="4" l="1"/>
  <c r="BK56" i="4"/>
  <c r="BG56" i="4"/>
  <c r="AW13" i="4"/>
  <c r="L87" i="4"/>
  <c r="M87" i="4"/>
  <c r="BL55" i="4"/>
  <c r="AX55" i="4"/>
  <c r="AY55" i="4"/>
  <c r="AV17" i="4"/>
  <c r="AX17" i="4" s="1"/>
  <c r="L61" i="4"/>
  <c r="M61" i="4"/>
  <c r="CZ5" i="2"/>
  <c r="CZ6" i="2"/>
  <c r="AW16" i="4" l="1"/>
  <c r="I56" i="4"/>
  <c r="AW56" i="4"/>
  <c r="BI56" i="4"/>
  <c r="AV56" i="4"/>
  <c r="BE56" i="4"/>
  <c r="BM56" i="4"/>
  <c r="L88" i="4"/>
  <c r="M88" i="4"/>
  <c r="BK57" i="4"/>
  <c r="BG57" i="4"/>
  <c r="I86" i="4"/>
  <c r="M62" i="4"/>
  <c r="L62" i="4"/>
  <c r="AX56" i="4" l="1"/>
  <c r="BL56" i="4"/>
  <c r="AY56" i="4"/>
  <c r="AV18" i="4"/>
  <c r="AX18" i="4" s="1"/>
  <c r="L89" i="4"/>
  <c r="BG58" i="4"/>
  <c r="I87" i="4"/>
  <c r="BK58" i="4"/>
  <c r="M89" i="4"/>
  <c r="AW20" i="4"/>
  <c r="M63" i="4"/>
  <c r="L63" i="4"/>
  <c r="I57" i="4" l="1"/>
  <c r="AW57" i="4"/>
  <c r="AV57" i="4"/>
  <c r="BI57" i="4"/>
  <c r="BE57" i="4"/>
  <c r="BM57" i="4"/>
  <c r="M90" i="4"/>
  <c r="I88" i="4"/>
  <c r="BG59" i="4"/>
  <c r="BK59" i="4"/>
  <c r="AW15" i="4"/>
  <c r="L90" i="4"/>
  <c r="L64" i="4"/>
  <c r="M64" i="4"/>
  <c r="BG60" i="4" l="1"/>
  <c r="BK60" i="4"/>
  <c r="I89" i="4"/>
  <c r="M91" i="4"/>
  <c r="AW19" i="4"/>
  <c r="L91" i="4"/>
  <c r="AV13" i="4"/>
  <c r="AX13" i="4" s="1"/>
  <c r="BL57" i="4"/>
  <c r="AX57" i="4"/>
  <c r="AY57" i="4"/>
  <c r="AW14" i="4"/>
  <c r="M65" i="4"/>
  <c r="L65" i="4"/>
  <c r="I90" i="4" l="1"/>
  <c r="BK61" i="4"/>
  <c r="BG61" i="4"/>
  <c r="M92" i="4"/>
  <c r="BM58" i="4"/>
  <c r="BE58" i="4"/>
  <c r="BI58" i="4"/>
  <c r="AV58" i="4"/>
  <c r="I58" i="4"/>
  <c r="AW58" i="4"/>
  <c r="AW24" i="4"/>
  <c r="L92" i="4"/>
  <c r="L66" i="4"/>
  <c r="M66" i="4"/>
  <c r="M93" i="4" l="1"/>
  <c r="BK62" i="4"/>
  <c r="I91" i="4"/>
  <c r="BG62" i="4"/>
  <c r="AV16" i="4"/>
  <c r="AX16" i="4" s="1"/>
  <c r="AX58" i="4"/>
  <c r="AY58" i="4"/>
  <c r="BL58" i="4"/>
  <c r="AW22" i="4"/>
  <c r="L93" i="4"/>
  <c r="L94" i="4" l="1"/>
  <c r="AW21" i="4"/>
  <c r="I59" i="4"/>
  <c r="AV59" i="4"/>
  <c r="BM59" i="4"/>
  <c r="AW59" i="4"/>
  <c r="BI59" i="4"/>
  <c r="BE59" i="4"/>
  <c r="BK63" i="4"/>
  <c r="BG63" i="4"/>
  <c r="I92" i="4"/>
  <c r="M94" i="4"/>
  <c r="I93" i="4" l="1"/>
  <c r="BK64" i="4"/>
  <c r="BG64" i="4"/>
  <c r="AX59" i="4"/>
  <c r="BL59" i="4"/>
  <c r="AV20" i="4"/>
  <c r="AX20" i="4" s="1"/>
  <c r="AY59" i="4"/>
  <c r="M95" i="4"/>
  <c r="AW23" i="4"/>
  <c r="L95" i="4"/>
  <c r="BK65" i="4" l="1"/>
  <c r="I94" i="4"/>
  <c r="BG65" i="4"/>
  <c r="AW60" i="4"/>
  <c r="AV60" i="4"/>
  <c r="BM60" i="4"/>
  <c r="BI60" i="4"/>
  <c r="I60" i="4"/>
  <c r="BE60" i="4"/>
  <c r="I95" i="4" l="1"/>
  <c r="BK66" i="4"/>
  <c r="AX60" i="4"/>
  <c r="BL60" i="4"/>
  <c r="AY60" i="4"/>
  <c r="BK20" i="2" l="1"/>
  <c r="BB20" i="2"/>
  <c r="BE20" i="2"/>
  <c r="BI61" i="4"/>
  <c r="BM61" i="4"/>
  <c r="I61" i="4"/>
  <c r="AW61" i="4"/>
  <c r="AV61" i="4"/>
  <c r="AV15" i="4" s="1"/>
  <c r="AX15" i="4" s="1"/>
  <c r="BE61" i="4"/>
  <c r="BJ73" i="4" l="1"/>
  <c r="BJ67" i="4" s="1"/>
  <c r="BK67" i="4" s="1"/>
  <c r="BE27" i="2"/>
  <c r="BE28" i="2"/>
  <c r="BF73" i="4"/>
  <c r="BF67" i="4" s="1"/>
  <c r="BG67" i="4" s="1"/>
  <c r="BB27" i="2"/>
  <c r="BB28" i="2"/>
  <c r="BH20" i="2"/>
  <c r="AX61" i="4"/>
  <c r="AV14" i="4"/>
  <c r="AX14" i="4" s="1"/>
  <c r="BL61" i="4"/>
  <c r="AY61" i="4"/>
  <c r="BH27" i="2" l="1"/>
  <c r="BK27" i="2" s="1"/>
  <c r="BH28" i="2"/>
  <c r="BK28" i="2" s="1"/>
  <c r="BF68" i="4"/>
  <c r="L96" i="4"/>
  <c r="BJ68" i="4"/>
  <c r="M96" i="4"/>
  <c r="BI62" i="4"/>
  <c r="BE62" i="4"/>
  <c r="I62" i="4"/>
  <c r="AV62" i="4"/>
  <c r="AV19" i="4" s="1"/>
  <c r="AX19" i="4" s="1"/>
  <c r="BM62" i="4"/>
  <c r="AW62" i="4"/>
  <c r="BJ69" i="4" l="1"/>
  <c r="M97" i="4"/>
  <c r="AW12" i="4"/>
  <c r="BF69" i="4"/>
  <c r="L97" i="4"/>
  <c r="BL62" i="4"/>
  <c r="AY62" i="4"/>
  <c r="AX62" i="4"/>
  <c r="BF70" i="4" l="1"/>
  <c r="L98" i="4"/>
  <c r="I96" i="4"/>
  <c r="BJ70" i="4"/>
  <c r="M98" i="4"/>
  <c r="BI63" i="4"/>
  <c r="AV63" i="4"/>
  <c r="AV24" i="4" s="1"/>
  <c r="AX24" i="4" s="1"/>
  <c r="BM63" i="4"/>
  <c r="I63" i="4"/>
  <c r="AW63" i="4"/>
  <c r="BE63" i="4"/>
  <c r="BJ71" i="4" l="1"/>
  <c r="M100" i="4" s="1"/>
  <c r="M99" i="4"/>
  <c r="BE21" i="2"/>
  <c r="BB21" i="2"/>
  <c r="BK21" i="2"/>
  <c r="BF71" i="4"/>
  <c r="L99" i="4"/>
  <c r="BL63" i="4"/>
  <c r="AX63" i="4"/>
  <c r="AY63" i="4"/>
  <c r="BH21" i="2" l="1"/>
  <c r="L100" i="4"/>
  <c r="BI64" i="4"/>
  <c r="BM64" i="4"/>
  <c r="AV64" i="4"/>
  <c r="AV22" i="4" s="1"/>
  <c r="AX22" i="4" s="1"/>
  <c r="BE64" i="4"/>
  <c r="AW64" i="4"/>
  <c r="I64" i="4"/>
  <c r="AX64" i="4" l="1"/>
  <c r="AY64" i="4"/>
  <c r="BL64" i="4"/>
  <c r="AW7" i="4" l="1"/>
  <c r="I65" i="4"/>
  <c r="BE65" i="4"/>
  <c r="BI65" i="4"/>
  <c r="AV65" i="4"/>
  <c r="BM65" i="4"/>
  <c r="AW65" i="4"/>
  <c r="AW11" i="4" l="1"/>
  <c r="AV21" i="4"/>
  <c r="AX21" i="4" s="1"/>
  <c r="AY65" i="4"/>
  <c r="AX65" i="4"/>
  <c r="BL65" i="4"/>
  <c r="G88" i="1"/>
  <c r="G89" i="1" s="1"/>
  <c r="G90" i="1" s="1"/>
  <c r="G91" i="1" s="1"/>
  <c r="P88" i="1"/>
  <c r="P89" i="1" s="1"/>
  <c r="P90" i="1" s="1"/>
  <c r="P91" i="1" s="1"/>
  <c r="AN126" i="2" l="1"/>
  <c r="I97" i="4"/>
  <c r="BG68" i="4"/>
  <c r="BF120" i="4"/>
  <c r="BF121" i="4" s="1"/>
  <c r="BK68" i="4"/>
  <c r="BM66" i="4"/>
  <c r="I66" i="4"/>
  <c r="AV66" i="4"/>
  <c r="BL66" i="4" s="1"/>
  <c r="AW66" i="4"/>
  <c r="F149" i="2" l="1"/>
  <c r="H149" i="2"/>
  <c r="BK22" i="2"/>
  <c r="BE22" i="2"/>
  <c r="BB22" i="2"/>
  <c r="I98" i="4"/>
  <c r="BK69" i="4"/>
  <c r="BG69" i="4"/>
  <c r="AN127" i="2"/>
  <c r="AV23" i="4"/>
  <c r="AX23" i="4" s="1"/>
  <c r="BJ20" i="2"/>
  <c r="BD20" i="2"/>
  <c r="BA20" i="2"/>
  <c r="AX66" i="4"/>
  <c r="AY66" i="4"/>
  <c r="BH22" i="2" l="1"/>
  <c r="H150" i="2"/>
  <c r="F150" i="2"/>
  <c r="BK23" i="2"/>
  <c r="BE23" i="2"/>
  <c r="BB23" i="2"/>
  <c r="BD73" i="4"/>
  <c r="BD67" i="4" s="1"/>
  <c r="BE67" i="4" s="1"/>
  <c r="BA28" i="2"/>
  <c r="BA27" i="2"/>
  <c r="BH73" i="4"/>
  <c r="BH67" i="4" s="1"/>
  <c r="BI67" i="4" s="1"/>
  <c r="BD28" i="2"/>
  <c r="BF28" i="2" s="1"/>
  <c r="BD27" i="2"/>
  <c r="BF27" i="2" s="1"/>
  <c r="BF20" i="2"/>
  <c r="BC20" i="2"/>
  <c r="BG20" i="2"/>
  <c r="BI20" i="2" s="1"/>
  <c r="BM67" i="4"/>
  <c r="AW67" i="4"/>
  <c r="AV67" i="4"/>
  <c r="I67" i="4"/>
  <c r="BH23" i="2" l="1"/>
  <c r="AV12" i="4"/>
  <c r="AX12" i="4" s="1"/>
  <c r="M71" i="4"/>
  <c r="BG27" i="2"/>
  <c r="BC27" i="2"/>
  <c r="BG28" i="2"/>
  <c r="BC28" i="2"/>
  <c r="BD68" i="4"/>
  <c r="L67" i="4"/>
  <c r="BJ21" i="2"/>
  <c r="BL20" i="2"/>
  <c r="BD21" i="2"/>
  <c r="BA21" i="2"/>
  <c r="BL67" i="4"/>
  <c r="AY67" i="4"/>
  <c r="AX67" i="4"/>
  <c r="BD69" i="4" l="1"/>
  <c r="L68" i="4"/>
  <c r="BD120" i="4"/>
  <c r="BD121" i="4" s="1"/>
  <c r="BJ28" i="2"/>
  <c r="BL28" i="2" s="1"/>
  <c r="BI28" i="2"/>
  <c r="BJ27" i="2"/>
  <c r="BL27" i="2" s="1"/>
  <c r="BI27" i="2"/>
  <c r="BH68" i="4"/>
  <c r="M67" i="4"/>
  <c r="BF21" i="2"/>
  <c r="BC21" i="2"/>
  <c r="BG21" i="2"/>
  <c r="BI21" i="2" s="1"/>
  <c r="BM68" i="4"/>
  <c r="I68" i="4"/>
  <c r="AV68" i="4"/>
  <c r="BE68" i="4"/>
  <c r="AW68" i="4"/>
  <c r="AM126" i="2"/>
  <c r="AO126" i="2" s="1"/>
  <c r="E149" i="2" l="1"/>
  <c r="G149" i="2"/>
  <c r="AV11" i="4"/>
  <c r="AX11" i="4" s="1"/>
  <c r="BH69" i="4"/>
  <c r="M68" i="4"/>
  <c r="BI68" i="4"/>
  <c r="BD70" i="4"/>
  <c r="L69" i="4"/>
  <c r="BJ22" i="2"/>
  <c r="BL21" i="2"/>
  <c r="BD22" i="2"/>
  <c r="BA22" i="2"/>
  <c r="BL68" i="4"/>
  <c r="AY68" i="4"/>
  <c r="AX68" i="4"/>
  <c r="BD71" i="4" l="1"/>
  <c r="L71" i="4" s="1"/>
  <c r="L70" i="4"/>
  <c r="BH70" i="4"/>
  <c r="M69" i="4"/>
  <c r="BF22" i="2"/>
  <c r="BC22" i="2"/>
  <c r="BG22" i="2"/>
  <c r="BI22" i="2" s="1"/>
  <c r="BM69" i="4"/>
  <c r="BE69" i="4"/>
  <c r="BI69" i="4"/>
  <c r="AW69" i="4"/>
  <c r="AV69" i="4"/>
  <c r="I69" i="4"/>
  <c r="AM127" i="2" l="1"/>
  <c r="AO127" i="2" s="1"/>
  <c r="AO23" i="2"/>
  <c r="E150" i="2"/>
  <c r="AV7" i="4"/>
  <c r="AX7" i="4" s="1"/>
  <c r="AY69" i="4"/>
  <c r="BH71" i="4"/>
  <c r="M70" i="4"/>
  <c r="BJ23" i="2"/>
  <c r="BL22" i="2"/>
  <c r="BD23" i="2"/>
  <c r="BA23" i="2"/>
  <c r="AX69" i="4"/>
  <c r="BL69" i="4"/>
  <c r="G150" i="2" l="1"/>
  <c r="BF23" i="2"/>
  <c r="BC23" i="2"/>
  <c r="BG23" i="2"/>
  <c r="BI23" i="2" s="1"/>
  <c r="BL23" i="2" l="1"/>
  <c r="BM70" i="4" l="1"/>
  <c r="BE70" i="4"/>
  <c r="BI70" i="4"/>
  <c r="I70" i="4"/>
  <c r="AV70" i="4"/>
  <c r="O106" i="2"/>
  <c r="O113" i="2" l="1"/>
  <c r="O136" i="2" s="1"/>
  <c r="O118" i="2"/>
  <c r="O141" i="2" s="1"/>
  <c r="O125" i="2"/>
  <c r="O117" i="2"/>
  <c r="O120" i="2"/>
  <c r="O126" i="2"/>
  <c r="O124" i="2"/>
  <c r="O119" i="2"/>
  <c r="O110" i="2"/>
  <c r="O115" i="2"/>
  <c r="O123" i="2"/>
  <c r="O128" i="2"/>
  <c r="O109" i="2"/>
  <c r="O129" i="2"/>
  <c r="O116" i="2"/>
  <c r="O121" i="2"/>
  <c r="O111" i="2"/>
  <c r="O114" i="2"/>
  <c r="O122" i="2"/>
  <c r="O112" i="2"/>
  <c r="AV8" i="4"/>
  <c r="BL70" i="4"/>
  <c r="U106" i="2"/>
  <c r="AA106" i="2"/>
  <c r="BJ24" i="2"/>
  <c r="B106" i="2"/>
  <c r="AD106" i="2"/>
  <c r="X106" i="2"/>
  <c r="R106" i="2"/>
  <c r="AM128" i="2"/>
  <c r="BD24" i="2"/>
  <c r="BA24" i="2"/>
  <c r="AJ106" i="2"/>
  <c r="L106" i="2"/>
  <c r="O127" i="2"/>
  <c r="O148" i="2"/>
  <c r="AG106" i="2"/>
  <c r="I106" i="2"/>
  <c r="O137" i="2" l="1"/>
  <c r="BG24" i="2"/>
  <c r="O138" i="2"/>
  <c r="L120" i="2"/>
  <c r="L112" i="2"/>
  <c r="L114" i="2"/>
  <c r="L127" i="2"/>
  <c r="L116" i="2"/>
  <c r="L109" i="2"/>
  <c r="L126" i="2"/>
  <c r="L111" i="2"/>
  <c r="L115" i="2"/>
  <c r="L121" i="2"/>
  <c r="L110" i="2"/>
  <c r="L125" i="2"/>
  <c r="L124" i="2"/>
  <c r="L128" i="2"/>
  <c r="L151" i="2" s="1"/>
  <c r="L113" i="2"/>
  <c r="L123" i="2"/>
  <c r="L118" i="2"/>
  <c r="L129" i="2"/>
  <c r="L119" i="2"/>
  <c r="L122" i="2"/>
  <c r="L117" i="2"/>
  <c r="R115" i="2"/>
  <c r="R122" i="2"/>
  <c r="R118" i="2"/>
  <c r="R112" i="2"/>
  <c r="R114" i="2"/>
  <c r="R123" i="2"/>
  <c r="R124" i="2"/>
  <c r="R125" i="2"/>
  <c r="R128" i="2"/>
  <c r="R116" i="2"/>
  <c r="R120" i="2"/>
  <c r="R127" i="2"/>
  <c r="R121" i="2"/>
  <c r="R117" i="2"/>
  <c r="R119" i="2"/>
  <c r="R109" i="2"/>
  <c r="R129" i="2"/>
  <c r="R113" i="2"/>
  <c r="R110" i="2"/>
  <c r="R126" i="2"/>
  <c r="R111" i="2"/>
  <c r="O133" i="2"/>
  <c r="O150" i="2"/>
  <c r="X125" i="2"/>
  <c r="X120" i="2"/>
  <c r="X118" i="2"/>
  <c r="X113" i="2"/>
  <c r="X129" i="2"/>
  <c r="X112" i="2"/>
  <c r="X123" i="2"/>
  <c r="X119" i="2"/>
  <c r="X122" i="2"/>
  <c r="X128" i="2"/>
  <c r="X151" i="2" s="1"/>
  <c r="X121" i="2"/>
  <c r="X116" i="2"/>
  <c r="X109" i="2"/>
  <c r="X110" i="2"/>
  <c r="X114" i="2"/>
  <c r="X124" i="2"/>
  <c r="X111" i="2"/>
  <c r="X126" i="2"/>
  <c r="X117" i="2"/>
  <c r="X115" i="2"/>
  <c r="X127" i="2"/>
  <c r="O134" i="2"/>
  <c r="E151" i="2"/>
  <c r="U151" i="2"/>
  <c r="O151" i="2"/>
  <c r="AD151" i="2"/>
  <c r="G151" i="2"/>
  <c r="AG151" i="2"/>
  <c r="O147" i="2"/>
  <c r="O146" i="2"/>
  <c r="O149" i="2"/>
  <c r="AD112" i="2"/>
  <c r="AD125" i="2"/>
  <c r="AD128" i="2"/>
  <c r="AD127" i="2"/>
  <c r="AD111" i="2"/>
  <c r="AD122" i="2"/>
  <c r="AD114" i="2"/>
  <c r="AD124" i="2"/>
  <c r="AD117" i="2"/>
  <c r="AD121" i="2"/>
  <c r="AD113" i="2"/>
  <c r="AD126" i="2"/>
  <c r="AD110" i="2"/>
  <c r="AD109" i="2"/>
  <c r="AD119" i="2"/>
  <c r="AD116" i="2"/>
  <c r="AD115" i="2"/>
  <c r="AD129" i="2"/>
  <c r="AD120" i="2"/>
  <c r="AD123" i="2"/>
  <c r="AD118" i="2"/>
  <c r="O135" i="2"/>
  <c r="AJ110" i="2"/>
  <c r="AJ115" i="2"/>
  <c r="AJ116" i="2"/>
  <c r="AJ120" i="2"/>
  <c r="AJ113" i="2"/>
  <c r="AJ112" i="2"/>
  <c r="AJ124" i="2"/>
  <c r="AJ109" i="2"/>
  <c r="AJ121" i="2"/>
  <c r="AJ123" i="2"/>
  <c r="AJ127" i="2"/>
  <c r="AJ119" i="2"/>
  <c r="AJ114" i="2"/>
  <c r="AJ111" i="2"/>
  <c r="AJ126" i="2"/>
  <c r="AJ128" i="2"/>
  <c r="AJ129" i="2"/>
  <c r="AJ125" i="2"/>
  <c r="AJ122" i="2"/>
  <c r="AJ118" i="2"/>
  <c r="AJ117" i="2"/>
  <c r="O139" i="2"/>
  <c r="O132" i="2"/>
  <c r="AA115" i="2"/>
  <c r="AA121" i="2"/>
  <c r="AA127" i="2"/>
  <c r="AA117" i="2"/>
  <c r="AA129" i="2"/>
  <c r="AA122" i="2"/>
  <c r="AA113" i="2"/>
  <c r="AA123" i="2"/>
  <c r="AA120" i="2"/>
  <c r="AA114" i="2"/>
  <c r="AA109" i="2"/>
  <c r="AA124" i="2"/>
  <c r="AA116" i="2"/>
  <c r="AA112" i="2"/>
  <c r="AA126" i="2"/>
  <c r="AA119" i="2"/>
  <c r="AA111" i="2"/>
  <c r="AA110" i="2"/>
  <c r="AA128" i="2"/>
  <c r="AA151" i="2" s="1"/>
  <c r="AA125" i="2"/>
  <c r="AA118" i="2"/>
  <c r="U128" i="2"/>
  <c r="U123" i="2"/>
  <c r="U116" i="2"/>
  <c r="U126" i="2"/>
  <c r="U111" i="2"/>
  <c r="U119" i="2"/>
  <c r="U114" i="2"/>
  <c r="U109" i="2"/>
  <c r="U121" i="2"/>
  <c r="U115" i="2"/>
  <c r="U124" i="2"/>
  <c r="U120" i="2"/>
  <c r="U125" i="2"/>
  <c r="U118" i="2"/>
  <c r="U117" i="2"/>
  <c r="U113" i="2"/>
  <c r="U129" i="2"/>
  <c r="U110" i="2"/>
  <c r="U112" i="2"/>
  <c r="U127" i="2"/>
  <c r="U122" i="2"/>
  <c r="O140" i="2"/>
  <c r="O145" i="2"/>
  <c r="O144" i="2"/>
  <c r="B116" i="2"/>
  <c r="AP106" i="2"/>
  <c r="B120" i="2"/>
  <c r="B117" i="2"/>
  <c r="B129" i="2"/>
  <c r="B126" i="2"/>
  <c r="B122" i="2"/>
  <c r="B127" i="2"/>
  <c r="B118" i="2"/>
  <c r="B123" i="2"/>
  <c r="B124" i="2"/>
  <c r="B113" i="2"/>
  <c r="B114" i="2"/>
  <c r="B128" i="2"/>
  <c r="B119" i="2"/>
  <c r="B125" i="2"/>
  <c r="B121" i="2"/>
  <c r="B109" i="2"/>
  <c r="B112" i="2"/>
  <c r="B115" i="2"/>
  <c r="B111" i="2"/>
  <c r="B110" i="2"/>
  <c r="O142" i="2"/>
  <c r="O143" i="2"/>
  <c r="I118" i="2"/>
  <c r="I112" i="2"/>
  <c r="I124" i="2"/>
  <c r="I123" i="2"/>
  <c r="I109" i="2"/>
  <c r="I127" i="2"/>
  <c r="I119" i="2"/>
  <c r="I110" i="2"/>
  <c r="I125" i="2"/>
  <c r="I126" i="2"/>
  <c r="I122" i="2"/>
  <c r="I128" i="2"/>
  <c r="I121" i="2"/>
  <c r="I116" i="2"/>
  <c r="I111" i="2"/>
  <c r="I115" i="2"/>
  <c r="I120" i="2"/>
  <c r="I114" i="2"/>
  <c r="I113" i="2"/>
  <c r="I117" i="2"/>
  <c r="I129" i="2"/>
  <c r="AG127" i="2"/>
  <c r="AG120" i="2"/>
  <c r="AG119" i="2"/>
  <c r="AG111" i="2"/>
  <c r="AG121" i="2"/>
  <c r="AG123" i="2"/>
  <c r="AG112" i="2"/>
  <c r="AG113" i="2"/>
  <c r="AG125" i="2"/>
  <c r="AG117" i="2"/>
  <c r="AG116" i="2"/>
  <c r="AG122" i="2"/>
  <c r="AG129" i="2"/>
  <c r="AG124" i="2"/>
  <c r="AG110" i="2"/>
  <c r="AG114" i="2"/>
  <c r="AG115" i="2"/>
  <c r="AG126" i="2"/>
  <c r="AG128" i="2"/>
  <c r="AG109" i="2"/>
  <c r="AG118" i="2"/>
  <c r="R139" i="2" l="1"/>
  <c r="U137" i="2"/>
  <c r="X148" i="2"/>
  <c r="R146" i="2"/>
  <c r="L134" i="2"/>
  <c r="AG148" i="2"/>
  <c r="I145" i="2"/>
  <c r="AV109" i="2"/>
  <c r="AS109" i="2"/>
  <c r="B132" i="2"/>
  <c r="AP109" i="2"/>
  <c r="U142" i="2"/>
  <c r="AA136" i="2"/>
  <c r="AJ137" i="2"/>
  <c r="AD139" i="2"/>
  <c r="X138" i="2"/>
  <c r="R137" i="2"/>
  <c r="L149" i="2"/>
  <c r="R143" i="2"/>
  <c r="U147" i="2"/>
  <c r="AD141" i="2"/>
  <c r="AG139" i="2"/>
  <c r="AG136" i="2"/>
  <c r="R135" i="2"/>
  <c r="AJ146" i="2"/>
  <c r="R145" i="2"/>
  <c r="AA150" i="2"/>
  <c r="AD149" i="2"/>
  <c r="X147" i="2"/>
  <c r="R134" i="2"/>
  <c r="L137" i="2"/>
  <c r="L147" i="2"/>
  <c r="AP120" i="2"/>
  <c r="B143" i="2"/>
  <c r="AS120" i="2"/>
  <c r="AV120" i="2"/>
  <c r="AA132" i="2"/>
  <c r="AS116" i="2"/>
  <c r="B139" i="2"/>
  <c r="AV116" i="2"/>
  <c r="AP116" i="2"/>
  <c r="R148" i="2"/>
  <c r="AA146" i="2"/>
  <c r="L132" i="2"/>
  <c r="AP125" i="2"/>
  <c r="AV125" i="2"/>
  <c r="AS125" i="2"/>
  <c r="B148" i="2"/>
  <c r="AJ150" i="2"/>
  <c r="U139" i="2"/>
  <c r="AD133" i="2"/>
  <c r="L150" i="2"/>
  <c r="AG144" i="2"/>
  <c r="I142" i="2"/>
  <c r="AP128" i="2"/>
  <c r="AV128" i="2"/>
  <c r="AS128" i="2"/>
  <c r="U146" i="2"/>
  <c r="AJ144" i="2"/>
  <c r="R138" i="2"/>
  <c r="AG134" i="2"/>
  <c r="I150" i="2"/>
  <c r="AP114" i="2"/>
  <c r="AV114" i="2"/>
  <c r="B137" i="2"/>
  <c r="AS114" i="2"/>
  <c r="U145" i="2"/>
  <c r="AA144" i="2"/>
  <c r="AJ132" i="2"/>
  <c r="AD136" i="2"/>
  <c r="X137" i="2"/>
  <c r="R149" i="2"/>
  <c r="L135" i="2"/>
  <c r="X135" i="2"/>
  <c r="AV110" i="2"/>
  <c r="AS110" i="2"/>
  <c r="AP110" i="2"/>
  <c r="B133" i="2"/>
  <c r="L133" i="2"/>
  <c r="AA137" i="2"/>
  <c r="R147" i="2"/>
  <c r="AD142" i="2"/>
  <c r="L139" i="2"/>
  <c r="AP113" i="2"/>
  <c r="AV113" i="2"/>
  <c r="AS113" i="2"/>
  <c r="B136" i="2"/>
  <c r="R133" i="2"/>
  <c r="AG143" i="2"/>
  <c r="AJ135" i="2"/>
  <c r="I147" i="2"/>
  <c r="AJ136" i="2"/>
  <c r="AD147" i="2"/>
  <c r="X139" i="2"/>
  <c r="L142" i="2"/>
  <c r="AJ145" i="2"/>
  <c r="AG147" i="2"/>
  <c r="AD135" i="2"/>
  <c r="U132" i="2"/>
  <c r="AJ149" i="2"/>
  <c r="B135" i="2"/>
  <c r="AP112" i="2"/>
  <c r="AV112" i="2"/>
  <c r="AS112" i="2"/>
  <c r="AJ142" i="2"/>
  <c r="I148" i="2"/>
  <c r="X149" i="2"/>
  <c r="I133" i="2"/>
  <c r="AA141" i="2"/>
  <c r="X133" i="2"/>
  <c r="U135" i="2"/>
  <c r="I151" i="2"/>
  <c r="AJ143" i="2"/>
  <c r="AD137" i="2"/>
  <c r="X144" i="2"/>
  <c r="R132" i="2"/>
  <c r="AG133" i="2"/>
  <c r="AD148" i="2"/>
  <c r="AJ148" i="2"/>
  <c r="AV111" i="2"/>
  <c r="B134" i="2"/>
  <c r="AP111" i="2"/>
  <c r="AS111" i="2"/>
  <c r="X136" i="2"/>
  <c r="I144" i="2"/>
  <c r="U144" i="2"/>
  <c r="L138" i="2"/>
  <c r="AA145" i="2"/>
  <c r="R141" i="2"/>
  <c r="AG142" i="2"/>
  <c r="AD144" i="2"/>
  <c r="L140" i="2"/>
  <c r="R136" i="2"/>
  <c r="AG141" i="2"/>
  <c r="B150" i="2"/>
  <c r="AP127" i="2"/>
  <c r="AV127" i="2"/>
  <c r="AS127" i="2"/>
  <c r="AJ139" i="2"/>
  <c r="AD145" i="2"/>
  <c r="AJ151" i="2"/>
  <c r="R142" i="2"/>
  <c r="L141" i="2"/>
  <c r="I139" i="2"/>
  <c r="B138" i="2"/>
  <c r="AV115" i="2"/>
  <c r="AS115" i="2"/>
  <c r="AP115" i="2"/>
  <c r="X141" i="2"/>
  <c r="AD138" i="2"/>
  <c r="X150" i="2"/>
  <c r="B144" i="2"/>
  <c r="AS121" i="2"/>
  <c r="AV121" i="2"/>
  <c r="AP121" i="2"/>
  <c r="U134" i="2"/>
  <c r="U149" i="2"/>
  <c r="AS119" i="2"/>
  <c r="B142" i="2"/>
  <c r="AP119" i="2"/>
  <c r="AV119" i="2"/>
  <c r="AA140" i="2"/>
  <c r="AA138" i="2"/>
  <c r="L143" i="2"/>
  <c r="I146" i="2"/>
  <c r="AA148" i="2"/>
  <c r="AD140" i="2"/>
  <c r="X132" i="2"/>
  <c r="AG149" i="2"/>
  <c r="I136" i="2"/>
  <c r="B145" i="2"/>
  <c r="AP122" i="2"/>
  <c r="AV122" i="2"/>
  <c r="AS122" i="2"/>
  <c r="U140" i="2"/>
  <c r="AA142" i="2"/>
  <c r="AJ138" i="2"/>
  <c r="AD134" i="2"/>
  <c r="X145" i="2"/>
  <c r="R140" i="2"/>
  <c r="L146" i="2"/>
  <c r="I138" i="2"/>
  <c r="AA139" i="2"/>
  <c r="AA147" i="2"/>
  <c r="L148" i="2"/>
  <c r="U138" i="2"/>
  <c r="L144" i="2"/>
  <c r="AA143" i="2"/>
  <c r="AJ134" i="2"/>
  <c r="X140" i="2"/>
  <c r="AG135" i="2"/>
  <c r="AD132" i="2"/>
  <c r="R151" i="2"/>
  <c r="I132" i="2"/>
  <c r="AV123" i="2"/>
  <c r="B146" i="2"/>
  <c r="AS123" i="2"/>
  <c r="AP123" i="2"/>
  <c r="AG132" i="2"/>
  <c r="AV118" i="2"/>
  <c r="AP118" i="2"/>
  <c r="AS118" i="2"/>
  <c r="B141" i="2"/>
  <c r="I141" i="2"/>
  <c r="U136" i="2"/>
  <c r="AG138" i="2"/>
  <c r="I137" i="2"/>
  <c r="AV126" i="2"/>
  <c r="AS126" i="2"/>
  <c r="AP126" i="2"/>
  <c r="B149" i="2"/>
  <c r="U141" i="2"/>
  <c r="AA149" i="2"/>
  <c r="AJ140" i="2"/>
  <c r="AJ133" i="2"/>
  <c r="AD150" i="2"/>
  <c r="X142" i="2"/>
  <c r="R144" i="2"/>
  <c r="L136" i="2"/>
  <c r="AV117" i="2"/>
  <c r="B140" i="2"/>
  <c r="AS117" i="2"/>
  <c r="AP117" i="2"/>
  <c r="U143" i="2"/>
  <c r="I134" i="2"/>
  <c r="AD146" i="2"/>
  <c r="AG145" i="2"/>
  <c r="AD143" i="2"/>
  <c r="X143" i="2"/>
  <c r="AG140" i="2"/>
  <c r="I149" i="2"/>
  <c r="AG146" i="2"/>
  <c r="X134" i="2"/>
  <c r="U150" i="2"/>
  <c r="AJ147" i="2"/>
  <c r="B147" i="2"/>
  <c r="AP124" i="2"/>
  <c r="AV124" i="2"/>
  <c r="AS124" i="2"/>
  <c r="L145" i="2"/>
  <c r="AG150" i="2"/>
  <c r="U133" i="2"/>
  <c r="I135" i="2"/>
  <c r="AA133" i="2"/>
  <c r="I140" i="2"/>
  <c r="AA134" i="2"/>
  <c r="AG137" i="2"/>
  <c r="I143" i="2"/>
  <c r="AS129" i="2"/>
  <c r="AP129" i="2"/>
  <c r="AV129" i="2"/>
  <c r="U148" i="2"/>
  <c r="AA135" i="2"/>
  <c r="AJ141" i="2"/>
  <c r="B151" i="2"/>
  <c r="X146" i="2"/>
  <c r="R150" i="2"/>
  <c r="AS137" i="2" l="1"/>
  <c r="AP137" i="2"/>
  <c r="AV137" i="2"/>
  <c r="AP139" i="2"/>
  <c r="AS139" i="2"/>
  <c r="AV139" i="2"/>
  <c r="AP143" i="2"/>
  <c r="AS143" i="2"/>
  <c r="AV143" i="2"/>
  <c r="AV132" i="2"/>
  <c r="AP132" i="2"/>
  <c r="AS132" i="2"/>
  <c r="AS136" i="2"/>
  <c r="AP136" i="2"/>
  <c r="AV136" i="2"/>
  <c r="AP134" i="2"/>
  <c r="AS134" i="2"/>
  <c r="AV134" i="2"/>
  <c r="AP149" i="2"/>
  <c r="AV149" i="2"/>
  <c r="AS149" i="2"/>
  <c r="AV148" i="2"/>
  <c r="AP148" i="2"/>
  <c r="AS148" i="2"/>
  <c r="AS141" i="2"/>
  <c r="AP141" i="2"/>
  <c r="AV141" i="2"/>
  <c r="AV147" i="2"/>
  <c r="AP147" i="2"/>
  <c r="AS147" i="2"/>
  <c r="AV151" i="2"/>
  <c r="AS151" i="2"/>
  <c r="AP151" i="2"/>
  <c r="AV146" i="2"/>
  <c r="AP146" i="2"/>
  <c r="AS146" i="2"/>
  <c r="AS144" i="2"/>
  <c r="AP144" i="2"/>
  <c r="AV144" i="2"/>
  <c r="AV145" i="2"/>
  <c r="AP145" i="2"/>
  <c r="AS145" i="2"/>
  <c r="AV142" i="2"/>
  <c r="AP142" i="2"/>
  <c r="AS142" i="2"/>
  <c r="AS150" i="2"/>
  <c r="AP150" i="2"/>
  <c r="AV150" i="2"/>
  <c r="AP138" i="2"/>
  <c r="AS138" i="2"/>
  <c r="AV138" i="2"/>
  <c r="AV135" i="2"/>
  <c r="AP135" i="2"/>
  <c r="AS135" i="2"/>
  <c r="AP140" i="2"/>
  <c r="AV140" i="2"/>
  <c r="AS140" i="2"/>
  <c r="AV133" i="2"/>
  <c r="AS133" i="2"/>
  <c r="AP133" i="2"/>
  <c r="I99" i="4" l="1"/>
  <c r="AW70" i="4"/>
  <c r="BG70" i="4"/>
  <c r="BK70" i="4"/>
  <c r="AB106" i="2"/>
  <c r="AB124" i="2" s="1"/>
  <c r="P106" i="2" l="1"/>
  <c r="AB126" i="2"/>
  <c r="AB113" i="2"/>
  <c r="AB116" i="2"/>
  <c r="AB112" i="2"/>
  <c r="AB120" i="2"/>
  <c r="AB117" i="2"/>
  <c r="AB115" i="2"/>
  <c r="AB128" i="2"/>
  <c r="AC128" i="2" s="1"/>
  <c r="AB121" i="2"/>
  <c r="AB129" i="2"/>
  <c r="AC129" i="2" s="1"/>
  <c r="AB122" i="2"/>
  <c r="AB125" i="2"/>
  <c r="AB114" i="2"/>
  <c r="AB123" i="2"/>
  <c r="AB118" i="2"/>
  <c r="AB110" i="2"/>
  <c r="AB109" i="2"/>
  <c r="AB119" i="2"/>
  <c r="AC124" i="2"/>
  <c r="AC147" i="2" s="1"/>
  <c r="AB147" i="2"/>
  <c r="AB127" i="2"/>
  <c r="AB111" i="2"/>
  <c r="P111" i="2"/>
  <c r="P122" i="2"/>
  <c r="BK24" i="2"/>
  <c r="BL24" i="2" s="1"/>
  <c r="AH106" i="2"/>
  <c r="BE24" i="2"/>
  <c r="BF24" i="2" s="1"/>
  <c r="BB24" i="2"/>
  <c r="V106" i="2"/>
  <c r="AK106" i="2"/>
  <c r="M106" i="2"/>
  <c r="S106" i="2"/>
  <c r="AO24" i="2"/>
  <c r="C106" i="2"/>
  <c r="AE106" i="2"/>
  <c r="P115" i="2"/>
  <c r="AN128" i="2"/>
  <c r="P128" i="2"/>
  <c r="Q128" i="2" s="1"/>
  <c r="P120" i="2"/>
  <c r="P119" i="2"/>
  <c r="P129" i="2"/>
  <c r="Q129" i="2" s="1"/>
  <c r="P117" i="2"/>
  <c r="P121" i="2"/>
  <c r="P112" i="2"/>
  <c r="P124" i="2"/>
  <c r="P127" i="2"/>
  <c r="J106" i="2"/>
  <c r="P125" i="2"/>
  <c r="P126" i="2"/>
  <c r="P118" i="2"/>
  <c r="Y106" i="2"/>
  <c r="P110" i="2"/>
  <c r="P123" i="2" l="1"/>
  <c r="P113" i="2"/>
  <c r="P109" i="2"/>
  <c r="P116" i="2"/>
  <c r="P114" i="2"/>
  <c r="S126" i="2"/>
  <c r="S109" i="2"/>
  <c r="S111" i="2"/>
  <c r="S125" i="2"/>
  <c r="S129" i="2"/>
  <c r="T129" i="2" s="1"/>
  <c r="S116" i="2"/>
  <c r="S119" i="2"/>
  <c r="S127" i="2"/>
  <c r="S115" i="2"/>
  <c r="S128" i="2"/>
  <c r="T128" i="2" s="1"/>
  <c r="S114" i="2"/>
  <c r="S118" i="2"/>
  <c r="S113" i="2"/>
  <c r="S112" i="2"/>
  <c r="S117" i="2"/>
  <c r="S122" i="2"/>
  <c r="S120" i="2"/>
  <c r="S124" i="2"/>
  <c r="S123" i="2"/>
  <c r="S121" i="2"/>
  <c r="S110" i="2"/>
  <c r="AC109" i="2"/>
  <c r="AC132" i="2" s="1"/>
  <c r="AB132" i="2"/>
  <c r="AB133" i="2"/>
  <c r="AC110" i="2"/>
  <c r="AC133" i="2" s="1"/>
  <c r="J122" i="2"/>
  <c r="J121" i="2"/>
  <c r="J126" i="2"/>
  <c r="J125" i="2"/>
  <c r="J123" i="2"/>
  <c r="J110" i="2"/>
  <c r="J128" i="2"/>
  <c r="K128" i="2" s="1"/>
  <c r="J127" i="2"/>
  <c r="J112" i="2"/>
  <c r="J111" i="2"/>
  <c r="J124" i="2"/>
  <c r="J118" i="2"/>
  <c r="J113" i="2"/>
  <c r="J109" i="2"/>
  <c r="J115" i="2"/>
  <c r="J117" i="2"/>
  <c r="J129" i="2"/>
  <c r="K129" i="2" s="1"/>
  <c r="J116" i="2"/>
  <c r="K106" i="2"/>
  <c r="J119" i="2"/>
  <c r="J120" i="2"/>
  <c r="J114" i="2"/>
  <c r="BC24" i="2"/>
  <c r="BH24" i="2"/>
  <c r="BI24" i="2" s="1"/>
  <c r="AB146" i="2"/>
  <c r="AC123" i="2"/>
  <c r="AC146" i="2" s="1"/>
  <c r="AC125" i="2"/>
  <c r="AC148" i="2" s="1"/>
  <c r="AB148" i="2"/>
  <c r="AC122" i="2"/>
  <c r="AC145" i="2" s="1"/>
  <c r="AB145" i="2"/>
  <c r="P145" i="2"/>
  <c r="Q122" i="2"/>
  <c r="Q145" i="2" s="1"/>
  <c r="Q111" i="2"/>
  <c r="Q134" i="2" s="1"/>
  <c r="P134" i="2"/>
  <c r="P142" i="2"/>
  <c r="Q119" i="2"/>
  <c r="Q142" i="2" s="1"/>
  <c r="Q120" i="2"/>
  <c r="Q143" i="2" s="1"/>
  <c r="P143" i="2"/>
  <c r="AC115" i="2"/>
  <c r="AC138" i="2" s="1"/>
  <c r="AB138" i="2"/>
  <c r="AB140" i="2"/>
  <c r="AC117" i="2"/>
  <c r="AC140" i="2" s="1"/>
  <c r="AB151" i="2"/>
  <c r="P151" i="2"/>
  <c r="H151" i="2"/>
  <c r="C151" i="2"/>
  <c r="Y151" i="2"/>
  <c r="AK151" i="2"/>
  <c r="AO128" i="2"/>
  <c r="J151" i="2"/>
  <c r="F151" i="2"/>
  <c r="AC111" i="2"/>
  <c r="AC134" i="2" s="1"/>
  <c r="AB134" i="2"/>
  <c r="AC127" i="2"/>
  <c r="AC150" i="2" s="1"/>
  <c r="AB150" i="2"/>
  <c r="AB139" i="2"/>
  <c r="AC116" i="2"/>
  <c r="AC139" i="2" s="1"/>
  <c r="Y126" i="2"/>
  <c r="Y122" i="2"/>
  <c r="Y117" i="2"/>
  <c r="Y118" i="2"/>
  <c r="Y129" i="2"/>
  <c r="Z129" i="2" s="1"/>
  <c r="Y114" i="2"/>
  <c r="Y119" i="2"/>
  <c r="Y121" i="2"/>
  <c r="Y115" i="2"/>
  <c r="Y110" i="2"/>
  <c r="Y127" i="2"/>
  <c r="Y109" i="2"/>
  <c r="Y124" i="2"/>
  <c r="Y116" i="2"/>
  <c r="Y123" i="2"/>
  <c r="Y111" i="2"/>
  <c r="Y125" i="2"/>
  <c r="Y113" i="2"/>
  <c r="Y120" i="2"/>
  <c r="Y112" i="2"/>
  <c r="Y128" i="2"/>
  <c r="Z128" i="2" s="1"/>
  <c r="AB142" i="2"/>
  <c r="AC119" i="2"/>
  <c r="AC142" i="2" s="1"/>
  <c r="Q126" i="2"/>
  <c r="Q149" i="2" s="1"/>
  <c r="P149" i="2"/>
  <c r="AK128" i="2"/>
  <c r="AL128" i="2" s="1"/>
  <c r="AK129" i="2"/>
  <c r="AL129" i="2" s="1"/>
  <c r="AK110" i="2"/>
  <c r="AK115" i="2"/>
  <c r="AK126" i="2"/>
  <c r="AK114" i="2"/>
  <c r="AK119" i="2"/>
  <c r="AK124" i="2"/>
  <c r="AK127" i="2"/>
  <c r="AK125" i="2"/>
  <c r="AK111" i="2"/>
  <c r="AK117" i="2"/>
  <c r="AK116" i="2"/>
  <c r="AK122" i="2"/>
  <c r="AK121" i="2"/>
  <c r="AK123" i="2"/>
  <c r="AK113" i="2"/>
  <c r="AK112" i="2"/>
  <c r="AK120" i="2"/>
  <c r="AK109" i="2"/>
  <c r="AK118" i="2"/>
  <c r="AC118" i="2"/>
  <c r="AC141" i="2" s="1"/>
  <c r="AB141" i="2"/>
  <c r="Q124" i="2"/>
  <c r="Q147" i="2" s="1"/>
  <c r="P147" i="2"/>
  <c r="AB137" i="2"/>
  <c r="AC114" i="2"/>
  <c r="AC137" i="2" s="1"/>
  <c r="P140" i="2"/>
  <c r="Q117" i="2"/>
  <c r="Q140" i="2" s="1"/>
  <c r="AC120" i="2"/>
  <c r="AC143" i="2" s="1"/>
  <c r="AB143" i="2"/>
  <c r="AC112" i="2"/>
  <c r="AC135" i="2" s="1"/>
  <c r="AB135" i="2"/>
  <c r="AE111" i="2"/>
  <c r="AE129" i="2"/>
  <c r="AF129" i="2" s="1"/>
  <c r="AE125" i="2"/>
  <c r="AE121" i="2"/>
  <c r="AE126" i="2"/>
  <c r="AE109" i="2"/>
  <c r="AE120" i="2"/>
  <c r="AE122" i="2"/>
  <c r="AE128" i="2"/>
  <c r="AF128" i="2" s="1"/>
  <c r="AE127" i="2"/>
  <c r="AE112" i="2"/>
  <c r="AE117" i="2"/>
  <c r="AE115" i="2"/>
  <c r="AE123" i="2"/>
  <c r="AE124" i="2"/>
  <c r="AE114" i="2"/>
  <c r="AE116" i="2"/>
  <c r="AE118" i="2"/>
  <c r="AE119" i="2"/>
  <c r="AE110" i="2"/>
  <c r="AE113" i="2"/>
  <c r="AC113" i="2"/>
  <c r="AC136" i="2" s="1"/>
  <c r="AB136" i="2"/>
  <c r="P141" i="2"/>
  <c r="Q118" i="2"/>
  <c r="Q141" i="2" s="1"/>
  <c r="M120" i="2"/>
  <c r="M124" i="2"/>
  <c r="M110" i="2"/>
  <c r="M129" i="2"/>
  <c r="N129" i="2" s="1"/>
  <c r="M115" i="2"/>
  <c r="M116" i="2"/>
  <c r="M113" i="2"/>
  <c r="M118" i="2"/>
  <c r="M125" i="2"/>
  <c r="M123" i="2"/>
  <c r="M114" i="2"/>
  <c r="M126" i="2"/>
  <c r="M117" i="2"/>
  <c r="M111" i="2"/>
  <c r="M121" i="2"/>
  <c r="M112" i="2"/>
  <c r="M127" i="2"/>
  <c r="M128" i="2"/>
  <c r="N128" i="2" s="1"/>
  <c r="M119" i="2"/>
  <c r="M109" i="2"/>
  <c r="M122" i="2"/>
  <c r="Q125" i="2"/>
  <c r="Q148" i="2" s="1"/>
  <c r="P148" i="2"/>
  <c r="V121" i="2"/>
  <c r="V120" i="2"/>
  <c r="V126" i="2"/>
  <c r="V113" i="2"/>
  <c r="V125" i="2"/>
  <c r="V112" i="2"/>
  <c r="V123" i="2"/>
  <c r="V111" i="2"/>
  <c r="V127" i="2"/>
  <c r="V124" i="2"/>
  <c r="V115" i="2"/>
  <c r="V129" i="2"/>
  <c r="W129" i="2" s="1"/>
  <c r="V118" i="2"/>
  <c r="V122" i="2"/>
  <c r="V116" i="2"/>
  <c r="V128" i="2"/>
  <c r="W128" i="2" s="1"/>
  <c r="V110" i="2"/>
  <c r="V109" i="2"/>
  <c r="V119" i="2"/>
  <c r="V114" i="2"/>
  <c r="V117" i="2"/>
  <c r="P150" i="2"/>
  <c r="Q127" i="2"/>
  <c r="Q150" i="2" s="1"/>
  <c r="Q112" i="2"/>
  <c r="Q135" i="2" s="1"/>
  <c r="P135" i="2"/>
  <c r="AH119" i="2"/>
  <c r="AH115" i="2"/>
  <c r="AH116" i="2"/>
  <c r="AH127" i="2"/>
  <c r="AH122" i="2"/>
  <c r="AH123" i="2"/>
  <c r="AH110" i="2"/>
  <c r="AH112" i="2"/>
  <c r="AH113" i="2"/>
  <c r="AH111" i="2"/>
  <c r="AH125" i="2"/>
  <c r="AH126" i="2"/>
  <c r="AH128" i="2"/>
  <c r="AI128" i="2" s="1"/>
  <c r="AH114" i="2"/>
  <c r="AH117" i="2"/>
  <c r="AH120" i="2"/>
  <c r="AH121" i="2"/>
  <c r="AH118" i="2"/>
  <c r="AH129" i="2"/>
  <c r="AI129" i="2" s="1"/>
  <c r="AH109" i="2"/>
  <c r="AH124" i="2"/>
  <c r="P144" i="2"/>
  <c r="Q121" i="2"/>
  <c r="Q144" i="2" s="1"/>
  <c r="AC121" i="2"/>
  <c r="AC144" i="2" s="1"/>
  <c r="AB144" i="2"/>
  <c r="P138" i="2"/>
  <c r="Q115" i="2"/>
  <c r="Q138" i="2" s="1"/>
  <c r="P133" i="2"/>
  <c r="Q110" i="2"/>
  <c r="Q133" i="2" s="1"/>
  <c r="C112" i="2"/>
  <c r="C120" i="2"/>
  <c r="C123" i="2"/>
  <c r="C111" i="2"/>
  <c r="C118" i="2"/>
  <c r="C116" i="2"/>
  <c r="C127" i="2"/>
  <c r="C115" i="2"/>
  <c r="D106" i="2"/>
  <c r="AQ106" i="2"/>
  <c r="C117" i="2"/>
  <c r="C114" i="2"/>
  <c r="C110" i="2"/>
  <c r="C126" i="2"/>
  <c r="C119" i="2"/>
  <c r="C128" i="2"/>
  <c r="C122" i="2"/>
  <c r="C129" i="2"/>
  <c r="C109" i="2"/>
  <c r="C121" i="2"/>
  <c r="C124" i="2"/>
  <c r="C113" i="2"/>
  <c r="C125" i="2"/>
  <c r="AB149" i="2"/>
  <c r="AC126" i="2"/>
  <c r="AC149" i="2" s="1"/>
  <c r="S151" i="2" l="1"/>
  <c r="P132" i="2"/>
  <c r="Q109" i="2"/>
  <c r="Q132" i="2" s="1"/>
  <c r="P137" i="2"/>
  <c r="Q114" i="2"/>
  <c r="Q137" i="2" s="1"/>
  <c r="Q116" i="2"/>
  <c r="Q139" i="2" s="1"/>
  <c r="P139" i="2"/>
  <c r="P136" i="2"/>
  <c r="Q113" i="2"/>
  <c r="Q136" i="2" s="1"/>
  <c r="V151" i="2"/>
  <c r="Q123" i="2"/>
  <c r="Q146" i="2" s="1"/>
  <c r="P146" i="2"/>
  <c r="AE147" i="2"/>
  <c r="AF124" i="2"/>
  <c r="AF147" i="2" s="1"/>
  <c r="J138" i="2"/>
  <c r="K115" i="2"/>
  <c r="K138" i="2" s="1"/>
  <c r="W112" i="2"/>
  <c r="W135" i="2" s="1"/>
  <c r="V135" i="2"/>
  <c r="AL119" i="2"/>
  <c r="AL142" i="2" s="1"/>
  <c r="AK142" i="2"/>
  <c r="AL115" i="2"/>
  <c r="AL138" i="2" s="1"/>
  <c r="AK138" i="2"/>
  <c r="M138" i="2"/>
  <c r="N115" i="2"/>
  <c r="N138" i="2" s="1"/>
  <c r="Y144" i="2"/>
  <c r="Z121" i="2"/>
  <c r="Z144" i="2" s="1"/>
  <c r="K111" i="2"/>
  <c r="K134" i="2" s="1"/>
  <c r="J134" i="2"/>
  <c r="AH143" i="2"/>
  <c r="AI120" i="2"/>
  <c r="AI143" i="2" s="1"/>
  <c r="Y142" i="2"/>
  <c r="Z119" i="2"/>
  <c r="Z142" i="2" s="1"/>
  <c r="T112" i="2"/>
  <c r="T135" i="2" s="1"/>
  <c r="S135" i="2"/>
  <c r="AH140" i="2"/>
  <c r="AI117" i="2"/>
  <c r="AI140" i="2" s="1"/>
  <c r="M133" i="2"/>
  <c r="N110" i="2"/>
  <c r="N133" i="2" s="1"/>
  <c r="Y137" i="2"/>
  <c r="Z114" i="2"/>
  <c r="Z137" i="2" s="1"/>
  <c r="J150" i="2"/>
  <c r="K127" i="2"/>
  <c r="K150" i="2" s="1"/>
  <c r="V142" i="2"/>
  <c r="W119" i="2"/>
  <c r="W142" i="2" s="1"/>
  <c r="AL109" i="2"/>
  <c r="AL132" i="2" s="1"/>
  <c r="AK132" i="2"/>
  <c r="AQ111" i="2"/>
  <c r="AT111" i="2"/>
  <c r="AW111" i="2"/>
  <c r="D111" i="2"/>
  <c r="C134" i="2"/>
  <c r="AE132" i="2"/>
  <c r="AF109" i="2"/>
  <c r="AF132" i="2" s="1"/>
  <c r="S137" i="2"/>
  <c r="T114" i="2"/>
  <c r="T137" i="2" s="1"/>
  <c r="AI126" i="2"/>
  <c r="AI149" i="2" s="1"/>
  <c r="AH149" i="2"/>
  <c r="AE149" i="2"/>
  <c r="AF126" i="2"/>
  <c r="AF149" i="2" s="1"/>
  <c r="C143" i="2"/>
  <c r="D120" i="2"/>
  <c r="AT120" i="2"/>
  <c r="AW120" i="2"/>
  <c r="AQ120" i="2"/>
  <c r="D112" i="2"/>
  <c r="C135" i="2"/>
  <c r="AW112" i="2"/>
  <c r="AQ112" i="2"/>
  <c r="AT112" i="2"/>
  <c r="AF125" i="2"/>
  <c r="AF148" i="2" s="1"/>
  <c r="AE148" i="2"/>
  <c r="M151" i="2"/>
  <c r="AL122" i="2"/>
  <c r="AL145" i="2" s="1"/>
  <c r="AK145" i="2"/>
  <c r="T116" i="2"/>
  <c r="T139" i="2" s="1"/>
  <c r="S139" i="2"/>
  <c r="D110" i="2"/>
  <c r="C133" i="2"/>
  <c r="AT110" i="2"/>
  <c r="AQ110" i="2"/>
  <c r="AW110" i="2"/>
  <c r="N123" i="2"/>
  <c r="N146" i="2" s="1"/>
  <c r="M146" i="2"/>
  <c r="Y147" i="2"/>
  <c r="Z124" i="2"/>
  <c r="Z147" i="2" s="1"/>
  <c r="S144" i="2"/>
  <c r="T121" i="2"/>
  <c r="T144" i="2" s="1"/>
  <c r="AH147" i="2"/>
  <c r="AI124" i="2"/>
  <c r="AI147" i="2" s="1"/>
  <c r="AF123" i="2"/>
  <c r="AF146" i="2" s="1"/>
  <c r="AE146" i="2"/>
  <c r="S146" i="2"/>
  <c r="T123" i="2"/>
  <c r="T146" i="2" s="1"/>
  <c r="AH132" i="2"/>
  <c r="AI109" i="2"/>
  <c r="AI132" i="2" s="1"/>
  <c r="AE138" i="2"/>
  <c r="AF115" i="2"/>
  <c r="AF138" i="2" s="1"/>
  <c r="V136" i="2"/>
  <c r="W113" i="2"/>
  <c r="W136" i="2" s="1"/>
  <c r="AL126" i="2"/>
  <c r="AL149" i="2" s="1"/>
  <c r="AK149" i="2"/>
  <c r="T120" i="2"/>
  <c r="T143" i="2" s="1"/>
  <c r="S143" i="2"/>
  <c r="V149" i="2"/>
  <c r="W126" i="2"/>
  <c r="W149" i="2" s="1"/>
  <c r="AE135" i="2"/>
  <c r="AF112" i="2"/>
  <c r="AF135" i="2" s="1"/>
  <c r="Y138" i="2"/>
  <c r="Z115" i="2"/>
  <c r="Z138" i="2" s="1"/>
  <c r="AI151" i="2"/>
  <c r="W151" i="2"/>
  <c r="K151" i="2"/>
  <c r="Q151" i="2"/>
  <c r="AC151" i="2"/>
  <c r="AL151" i="2"/>
  <c r="AF151" i="2"/>
  <c r="Z151" i="2"/>
  <c r="T151" i="2"/>
  <c r="N151" i="2"/>
  <c r="C138" i="2"/>
  <c r="AT115" i="2"/>
  <c r="AW115" i="2"/>
  <c r="D115" i="2"/>
  <c r="AQ115" i="2"/>
  <c r="V143" i="2"/>
  <c r="W120" i="2"/>
  <c r="W143" i="2" s="1"/>
  <c r="AK133" i="2"/>
  <c r="AL110" i="2"/>
  <c r="AL133" i="2" s="1"/>
  <c r="T117" i="2"/>
  <c r="T140" i="2" s="1"/>
  <c r="S140" i="2"/>
  <c r="V144" i="2"/>
  <c r="W121" i="2"/>
  <c r="W144" i="2" s="1"/>
  <c r="K112" i="2"/>
  <c r="K135" i="2" s="1"/>
  <c r="J135" i="2"/>
  <c r="W109" i="2"/>
  <c r="W132" i="2" s="1"/>
  <c r="V132" i="2"/>
  <c r="K110" i="2"/>
  <c r="K133" i="2" s="1"/>
  <c r="J133" i="2"/>
  <c r="M132" i="2"/>
  <c r="N109" i="2"/>
  <c r="N132" i="2" s="1"/>
  <c r="J146" i="2"/>
  <c r="K123" i="2"/>
  <c r="K146" i="2" s="1"/>
  <c r="AH148" i="2"/>
  <c r="AI125" i="2"/>
  <c r="AI148" i="2" s="1"/>
  <c r="Y145" i="2"/>
  <c r="Z122" i="2"/>
  <c r="Z145" i="2" s="1"/>
  <c r="J148" i="2"/>
  <c r="K125" i="2"/>
  <c r="K148" i="2" s="1"/>
  <c r="AI111" i="2"/>
  <c r="AI134" i="2" s="1"/>
  <c r="AH134" i="2"/>
  <c r="Y149" i="2"/>
  <c r="Z126" i="2"/>
  <c r="Z149" i="2" s="1"/>
  <c r="K126" i="2"/>
  <c r="K149" i="2" s="1"/>
  <c r="J149" i="2"/>
  <c r="M150" i="2"/>
  <c r="N127" i="2"/>
  <c r="N150" i="2" s="1"/>
  <c r="Z112" i="2"/>
  <c r="Z135" i="2" s="1"/>
  <c r="Y135" i="2"/>
  <c r="K114" i="2"/>
  <c r="K137" i="2" s="1"/>
  <c r="J137" i="2"/>
  <c r="AQ109" i="2"/>
  <c r="AW109" i="2"/>
  <c r="D109" i="2"/>
  <c r="AT109" i="2"/>
  <c r="C132" i="2"/>
  <c r="AE136" i="2"/>
  <c r="AF113" i="2"/>
  <c r="AF136" i="2" s="1"/>
  <c r="J145" i="2"/>
  <c r="K122" i="2"/>
  <c r="K145" i="2" s="1"/>
  <c r="AW129" i="2"/>
  <c r="D129" i="2"/>
  <c r="AT129" i="2"/>
  <c r="AQ129" i="2"/>
  <c r="AK139" i="2"/>
  <c r="AL116" i="2"/>
  <c r="AL139" i="2" s="1"/>
  <c r="K119" i="2"/>
  <c r="K142" i="2" s="1"/>
  <c r="J142" i="2"/>
  <c r="AH146" i="2"/>
  <c r="AI123" i="2"/>
  <c r="AI146" i="2" s="1"/>
  <c r="AH145" i="2"/>
  <c r="AI122" i="2"/>
  <c r="AI145" i="2" s="1"/>
  <c r="V147" i="2"/>
  <c r="W124" i="2"/>
  <c r="W147" i="2" s="1"/>
  <c r="N117" i="2"/>
  <c r="N140" i="2" s="1"/>
  <c r="M140" i="2"/>
  <c r="AF118" i="2"/>
  <c r="AF141" i="2" s="1"/>
  <c r="AE141" i="2"/>
  <c r="AK134" i="2"/>
  <c r="AL111" i="2"/>
  <c r="AL134" i="2" s="1"/>
  <c r="Y134" i="2"/>
  <c r="Z111" i="2"/>
  <c r="Z134" i="2" s="1"/>
  <c r="J139" i="2"/>
  <c r="K116" i="2"/>
  <c r="K139" i="2" s="1"/>
  <c r="T111" i="2"/>
  <c r="T134" i="2" s="1"/>
  <c r="S134" i="2"/>
  <c r="W123" i="2"/>
  <c r="W146" i="2" s="1"/>
  <c r="V146" i="2"/>
  <c r="AK147" i="2"/>
  <c r="AL124" i="2"/>
  <c r="AL147" i="2" s="1"/>
  <c r="AI119" i="2"/>
  <c r="AI142" i="2" s="1"/>
  <c r="AH142" i="2"/>
  <c r="J132" i="2"/>
  <c r="K109" i="2"/>
  <c r="K132" i="2" s="1"/>
  <c r="M141" i="2"/>
  <c r="N118" i="2"/>
  <c r="N141" i="2" s="1"/>
  <c r="Z127" i="2"/>
  <c r="Z150" i="2" s="1"/>
  <c r="Y150" i="2"/>
  <c r="J136" i="2"/>
  <c r="K113" i="2"/>
  <c r="K136" i="2" s="1"/>
  <c r="M136" i="2"/>
  <c r="N113" i="2"/>
  <c r="N136" i="2" s="1"/>
  <c r="AH141" i="2"/>
  <c r="AI118" i="2"/>
  <c r="AI141" i="2" s="1"/>
  <c r="T122" i="2"/>
  <c r="T145" i="2" s="1"/>
  <c r="S145" i="2"/>
  <c r="AH144" i="2"/>
  <c r="AI121" i="2"/>
  <c r="AI144" i="2" s="1"/>
  <c r="AF127" i="2"/>
  <c r="AF150" i="2" s="1"/>
  <c r="AE150" i="2"/>
  <c r="V140" i="2"/>
  <c r="W117" i="2"/>
  <c r="W140" i="2" s="1"/>
  <c r="D116" i="2"/>
  <c r="C139" i="2"/>
  <c r="AT116" i="2"/>
  <c r="AW116" i="2"/>
  <c r="AQ116" i="2"/>
  <c r="AF122" i="2"/>
  <c r="AF145" i="2" s="1"/>
  <c r="AE145" i="2"/>
  <c r="S136" i="2"/>
  <c r="T113" i="2"/>
  <c r="T136" i="2" s="1"/>
  <c r="AW118" i="2"/>
  <c r="AT118" i="2"/>
  <c r="AQ118" i="2"/>
  <c r="D118" i="2"/>
  <c r="C141" i="2"/>
  <c r="N124" i="2"/>
  <c r="N147" i="2" s="1"/>
  <c r="M147" i="2"/>
  <c r="M145" i="2"/>
  <c r="N122" i="2"/>
  <c r="N145" i="2" s="1"/>
  <c r="AK143" i="2"/>
  <c r="AL120" i="2"/>
  <c r="AL143" i="2" s="1"/>
  <c r="C146" i="2"/>
  <c r="D123" i="2"/>
  <c r="AW123" i="2"/>
  <c r="AT123" i="2"/>
  <c r="AQ123" i="2"/>
  <c r="Y140" i="2"/>
  <c r="Z117" i="2"/>
  <c r="Z140" i="2" s="1"/>
  <c r="C136" i="2"/>
  <c r="D113" i="2"/>
  <c r="AW113" i="2"/>
  <c r="AT113" i="2"/>
  <c r="AQ113" i="2"/>
  <c r="AE144" i="2"/>
  <c r="AF121" i="2"/>
  <c r="AF144" i="2" s="1"/>
  <c r="AK136" i="2"/>
  <c r="AL113" i="2"/>
  <c r="AL136" i="2" s="1"/>
  <c r="AH151" i="2"/>
  <c r="AT124" i="2"/>
  <c r="AQ124" i="2"/>
  <c r="AW124" i="2"/>
  <c r="D124" i="2"/>
  <c r="C147" i="2"/>
  <c r="AH136" i="2"/>
  <c r="AI113" i="2"/>
  <c r="AI136" i="2" s="1"/>
  <c r="T119" i="2"/>
  <c r="T142" i="2" s="1"/>
  <c r="S142" i="2"/>
  <c r="AH135" i="2"/>
  <c r="AI112" i="2"/>
  <c r="AI135" i="2" s="1"/>
  <c r="M135" i="2"/>
  <c r="N112" i="2"/>
  <c r="N135" i="2" s="1"/>
  <c r="Y143" i="2"/>
  <c r="Z120" i="2"/>
  <c r="Z143" i="2" s="1"/>
  <c r="K120" i="2"/>
  <c r="K143" i="2" s="1"/>
  <c r="J143" i="2"/>
  <c r="AH133" i="2"/>
  <c r="AI110" i="2"/>
  <c r="AI133" i="2" s="1"/>
  <c r="N121" i="2"/>
  <c r="N144" i="2" s="1"/>
  <c r="M144" i="2"/>
  <c r="Z113" i="2"/>
  <c r="Z136" i="2" s="1"/>
  <c r="Y136" i="2"/>
  <c r="V138" i="2"/>
  <c r="W115" i="2"/>
  <c r="W138" i="2" s="1"/>
  <c r="AE142" i="2"/>
  <c r="AF119" i="2"/>
  <c r="AF142" i="2" s="1"/>
  <c r="AK140" i="2"/>
  <c r="AL117" i="2"/>
  <c r="AL140" i="2" s="1"/>
  <c r="V150" i="2"/>
  <c r="W127" i="2"/>
  <c r="W150" i="2" s="1"/>
  <c r="AE139" i="2"/>
  <c r="AF116" i="2"/>
  <c r="AF139" i="2" s="1"/>
  <c r="AK148" i="2"/>
  <c r="AL125" i="2"/>
  <c r="AL148" i="2" s="1"/>
  <c r="Z123" i="2"/>
  <c r="Z146" i="2" s="1"/>
  <c r="Y146" i="2"/>
  <c r="T109" i="2"/>
  <c r="T132" i="2" s="1"/>
  <c r="S132" i="2"/>
  <c r="AI115" i="2"/>
  <c r="AI138" i="2" s="1"/>
  <c r="AH138" i="2"/>
  <c r="AW114" i="2"/>
  <c r="AT114" i="2"/>
  <c r="AQ114" i="2"/>
  <c r="D114" i="2"/>
  <c r="C137" i="2"/>
  <c r="N125" i="2"/>
  <c r="N148" i="2" s="1"/>
  <c r="M148" i="2"/>
  <c r="Y132" i="2"/>
  <c r="Z109" i="2"/>
  <c r="Z132" i="2" s="1"/>
  <c r="C140" i="2"/>
  <c r="D117" i="2"/>
  <c r="AT117" i="2"/>
  <c r="AQ117" i="2"/>
  <c r="AW117" i="2"/>
  <c r="W125" i="2"/>
  <c r="W148" i="2" s="1"/>
  <c r="V148" i="2"/>
  <c r="AL114" i="2"/>
  <c r="AL137" i="2" s="1"/>
  <c r="AK137" i="2"/>
  <c r="T124" i="2"/>
  <c r="T147" i="2" s="1"/>
  <c r="S147" i="2"/>
  <c r="AF117" i="2"/>
  <c r="AF140" i="2" s="1"/>
  <c r="AE140" i="2"/>
  <c r="Y133" i="2"/>
  <c r="Z110" i="2"/>
  <c r="Z133" i="2" s="1"/>
  <c r="J141" i="2"/>
  <c r="K118" i="2"/>
  <c r="K141" i="2" s="1"/>
  <c r="M139" i="2"/>
  <c r="N116" i="2"/>
  <c r="N139" i="2" s="1"/>
  <c r="J147" i="2"/>
  <c r="K124" i="2"/>
  <c r="K147" i="2" s="1"/>
  <c r="AW127" i="2"/>
  <c r="AQ127" i="2"/>
  <c r="D127" i="2"/>
  <c r="AT127" i="2"/>
  <c r="C150" i="2"/>
  <c r="W114" i="2"/>
  <c r="W137" i="2" s="1"/>
  <c r="V137" i="2"/>
  <c r="AL118" i="2"/>
  <c r="AL141" i="2" s="1"/>
  <c r="AK141" i="2"/>
  <c r="AH137" i="2"/>
  <c r="AI114" i="2"/>
  <c r="AI137" i="2" s="1"/>
  <c r="AF120" i="2"/>
  <c r="AF143" i="2" s="1"/>
  <c r="AE143" i="2"/>
  <c r="S141" i="2"/>
  <c r="T118" i="2"/>
  <c r="T141" i="2" s="1"/>
  <c r="N120" i="2"/>
  <c r="N143" i="2" s="1"/>
  <c r="M143" i="2"/>
  <c r="Z118" i="2"/>
  <c r="Z141" i="2" s="1"/>
  <c r="Y141" i="2"/>
  <c r="D125" i="2"/>
  <c r="C148" i="2"/>
  <c r="AW125" i="2"/>
  <c r="AT125" i="2"/>
  <c r="AQ125" i="2"/>
  <c r="W110" i="2"/>
  <c r="W133" i="2" s="1"/>
  <c r="V133" i="2"/>
  <c r="AL112" i="2"/>
  <c r="AL135" i="2" s="1"/>
  <c r="AK135" i="2"/>
  <c r="N119" i="2"/>
  <c r="N142" i="2" s="1"/>
  <c r="M142" i="2"/>
  <c r="T115" i="2"/>
  <c r="T138" i="2" s="1"/>
  <c r="S138" i="2"/>
  <c r="W116" i="2"/>
  <c r="W139" i="2" s="1"/>
  <c r="V139" i="2"/>
  <c r="AL123" i="2"/>
  <c r="AL146" i="2" s="1"/>
  <c r="AK146" i="2"/>
  <c r="T127" i="2"/>
  <c r="T150" i="2" s="1"/>
  <c r="S150" i="2"/>
  <c r="AT121" i="2"/>
  <c r="AQ121" i="2"/>
  <c r="AW121" i="2"/>
  <c r="C144" i="2"/>
  <c r="D121" i="2"/>
  <c r="V145" i="2"/>
  <c r="W122" i="2"/>
  <c r="W145" i="2" s="1"/>
  <c r="AL121" i="2"/>
  <c r="AL144" i="2" s="1"/>
  <c r="AK144" i="2"/>
  <c r="K121" i="2"/>
  <c r="K144" i="2" s="1"/>
  <c r="J144" i="2"/>
  <c r="V141" i="2"/>
  <c r="W118" i="2"/>
  <c r="W141" i="2" s="1"/>
  <c r="AE134" i="2"/>
  <c r="AF111" i="2"/>
  <c r="AF134" i="2" s="1"/>
  <c r="AF110" i="2"/>
  <c r="AF133" i="2" s="1"/>
  <c r="AE133" i="2"/>
  <c r="AQ122" i="2"/>
  <c r="D122" i="2"/>
  <c r="AT122" i="2"/>
  <c r="AW122" i="2"/>
  <c r="C145" i="2"/>
  <c r="N111" i="2"/>
  <c r="N134" i="2" s="1"/>
  <c r="M134" i="2"/>
  <c r="Z125" i="2"/>
  <c r="Z148" i="2" s="1"/>
  <c r="Y148" i="2"/>
  <c r="T125" i="2"/>
  <c r="T148" i="2" s="1"/>
  <c r="S148" i="2"/>
  <c r="AT128" i="2"/>
  <c r="AQ128" i="2"/>
  <c r="AW128" i="2"/>
  <c r="D128" i="2"/>
  <c r="D151" i="2" s="1"/>
  <c r="AQ119" i="2"/>
  <c r="C142" i="2"/>
  <c r="D119" i="2"/>
  <c r="AW119" i="2"/>
  <c r="AT119" i="2"/>
  <c r="AI127" i="2"/>
  <c r="AI150" i="2" s="1"/>
  <c r="AH150" i="2"/>
  <c r="M149" i="2"/>
  <c r="N126" i="2"/>
  <c r="N149" i="2" s="1"/>
  <c r="C149" i="2"/>
  <c r="AW126" i="2"/>
  <c r="D126" i="2"/>
  <c r="AQ126" i="2"/>
  <c r="AT126" i="2"/>
  <c r="AI116" i="2"/>
  <c r="AI139" i="2" s="1"/>
  <c r="AH139" i="2"/>
  <c r="V134" i="2"/>
  <c r="W111" i="2"/>
  <c r="W134" i="2" s="1"/>
  <c r="M137" i="2"/>
  <c r="N114" i="2"/>
  <c r="N137" i="2" s="1"/>
  <c r="AE137" i="2"/>
  <c r="AF114" i="2"/>
  <c r="AF137" i="2" s="1"/>
  <c r="AK150" i="2"/>
  <c r="AL127" i="2"/>
  <c r="AL150" i="2" s="1"/>
  <c r="Z116" i="2"/>
  <c r="Z139" i="2" s="1"/>
  <c r="Y139" i="2"/>
  <c r="AE151" i="2"/>
  <c r="K117" i="2"/>
  <c r="K140" i="2" s="1"/>
  <c r="J140" i="2"/>
  <c r="T110" i="2"/>
  <c r="T133" i="2" s="1"/>
  <c r="S133" i="2"/>
  <c r="T126" i="2"/>
  <c r="T149" i="2" s="1"/>
  <c r="S149" i="2"/>
  <c r="AT151" i="2" l="1"/>
  <c r="AX151" i="2"/>
  <c r="AU151" i="2"/>
  <c r="AR151" i="2"/>
  <c r="AQ141" i="2"/>
  <c r="AW141" i="2"/>
  <c r="AT141" i="2"/>
  <c r="AU118" i="2"/>
  <c r="AR118" i="2"/>
  <c r="D141" i="2"/>
  <c r="AX118" i="2"/>
  <c r="AU113" i="2"/>
  <c r="AR113" i="2"/>
  <c r="AX113" i="2"/>
  <c r="D136" i="2"/>
  <c r="D133" i="2"/>
  <c r="AR110" i="2"/>
  <c r="AU110" i="2"/>
  <c r="AX110" i="2"/>
  <c r="AR114" i="2"/>
  <c r="D137" i="2"/>
  <c r="AU114" i="2"/>
  <c r="AX114" i="2"/>
  <c r="AU129" i="2"/>
  <c r="AX129" i="2"/>
  <c r="AR129" i="2"/>
  <c r="AR123" i="2"/>
  <c r="AU123" i="2"/>
  <c r="AX123" i="2"/>
  <c r="D146" i="2"/>
  <c r="AT146" i="2"/>
  <c r="AW146" i="2"/>
  <c r="AQ146" i="2"/>
  <c r="AQ139" i="2"/>
  <c r="AW139" i="2"/>
  <c r="AT139" i="2"/>
  <c r="D144" i="2"/>
  <c r="AX121" i="2"/>
  <c r="AU121" i="2"/>
  <c r="AR121" i="2"/>
  <c r="AQ134" i="2"/>
  <c r="AT134" i="2"/>
  <c r="AW134" i="2"/>
  <c r="AT148" i="2"/>
  <c r="AQ148" i="2"/>
  <c r="AW148" i="2"/>
  <c r="AT145" i="2"/>
  <c r="AQ145" i="2"/>
  <c r="AW145" i="2"/>
  <c r="AU125" i="2"/>
  <c r="AR125" i="2"/>
  <c r="D148" i="2"/>
  <c r="AX125" i="2"/>
  <c r="AW138" i="2"/>
  <c r="AT138" i="2"/>
  <c r="AQ138" i="2"/>
  <c r="AX112" i="2"/>
  <c r="AR112" i="2"/>
  <c r="AU112" i="2"/>
  <c r="D135" i="2"/>
  <c r="AQ136" i="2"/>
  <c r="AT136" i="2"/>
  <c r="AW136" i="2"/>
  <c r="AW133" i="2"/>
  <c r="AT133" i="2"/>
  <c r="AQ133" i="2"/>
  <c r="AR119" i="2"/>
  <c r="D142" i="2"/>
  <c r="AU119" i="2"/>
  <c r="AX119" i="2"/>
  <c r="AT147" i="2"/>
  <c r="AQ147" i="2"/>
  <c r="AW147" i="2"/>
  <c r="AR116" i="2"/>
  <c r="AU116" i="2"/>
  <c r="AX116" i="2"/>
  <c r="D139" i="2"/>
  <c r="AQ132" i="2"/>
  <c r="AT132" i="2"/>
  <c r="AW132" i="2"/>
  <c r="AX126" i="2"/>
  <c r="AU126" i="2"/>
  <c r="AR126" i="2"/>
  <c r="D149" i="2"/>
  <c r="AW144" i="2"/>
  <c r="AT144" i="2"/>
  <c r="AQ144" i="2"/>
  <c r="AR115" i="2"/>
  <c r="AX115" i="2"/>
  <c r="AU115" i="2"/>
  <c r="D138" i="2"/>
  <c r="AX111" i="2"/>
  <c r="AR111" i="2"/>
  <c r="AU111" i="2"/>
  <c r="D134" i="2"/>
  <c r="AT149" i="2"/>
  <c r="AW149" i="2"/>
  <c r="AQ149" i="2"/>
  <c r="AQ140" i="2"/>
  <c r="AW140" i="2"/>
  <c r="AT140" i="2"/>
  <c r="AW135" i="2"/>
  <c r="AT135" i="2"/>
  <c r="AQ135" i="2"/>
  <c r="AQ151" i="2"/>
  <c r="AQ142" i="2"/>
  <c r="AT142" i="2"/>
  <c r="AW142" i="2"/>
  <c r="D147" i="2"/>
  <c r="AU124" i="2"/>
  <c r="AX124" i="2"/>
  <c r="AR124" i="2"/>
  <c r="AT150" i="2"/>
  <c r="AW150" i="2"/>
  <c r="AQ150" i="2"/>
  <c r="AR127" i="2"/>
  <c r="AU127" i="2"/>
  <c r="AX127" i="2"/>
  <c r="D150" i="2"/>
  <c r="AR117" i="2"/>
  <c r="AU117" i="2"/>
  <c r="AX117" i="2"/>
  <c r="D140" i="2"/>
  <c r="AX122" i="2"/>
  <c r="D145" i="2"/>
  <c r="AU122" i="2"/>
  <c r="AR122" i="2"/>
  <c r="AW151" i="2"/>
  <c r="AT137" i="2"/>
  <c r="AQ137" i="2"/>
  <c r="AW137" i="2"/>
  <c r="D143" i="2"/>
  <c r="AX120" i="2"/>
  <c r="AU120" i="2"/>
  <c r="AR120" i="2"/>
  <c r="AW143" i="2"/>
  <c r="AT143" i="2"/>
  <c r="AQ143" i="2"/>
  <c r="AU128" i="2"/>
  <c r="AX128" i="2"/>
  <c r="AR128" i="2"/>
  <c r="AX109" i="2"/>
  <c r="AU109" i="2"/>
  <c r="D132" i="2"/>
  <c r="AR109" i="2"/>
  <c r="AU147" i="2" l="1"/>
  <c r="AX147" i="2"/>
  <c r="AR147" i="2"/>
  <c r="AU142" i="2"/>
  <c r="AR142" i="2"/>
  <c r="AX142" i="2"/>
  <c r="AX150" i="2"/>
  <c r="AU150" i="2"/>
  <c r="AR150" i="2"/>
  <c r="AX141" i="2"/>
  <c r="AU141" i="2"/>
  <c r="AR141" i="2"/>
  <c r="AR144" i="2"/>
  <c r="AU144" i="2"/>
  <c r="AX144" i="2"/>
  <c r="AW6" i="4"/>
  <c r="AU143" i="2"/>
  <c r="AX143" i="2"/>
  <c r="AR143" i="2"/>
  <c r="AX148" i="2"/>
  <c r="AR148" i="2"/>
  <c r="AU148" i="2"/>
  <c r="AU134" i="2"/>
  <c r="AR134" i="2"/>
  <c r="AX134" i="2"/>
  <c r="AR139" i="2"/>
  <c r="AU139" i="2"/>
  <c r="AX139" i="2"/>
  <c r="AR135" i="2"/>
  <c r="AX135" i="2"/>
  <c r="AU135" i="2"/>
  <c r="AR137" i="2"/>
  <c r="AX137" i="2"/>
  <c r="AU137" i="2"/>
  <c r="AU145" i="2"/>
  <c r="AX145" i="2"/>
  <c r="AR145" i="2"/>
  <c r="AX140" i="2"/>
  <c r="AU140" i="2"/>
  <c r="AR140" i="2"/>
  <c r="AX133" i="2"/>
  <c r="AU133" i="2"/>
  <c r="AR133" i="2"/>
  <c r="AU132" i="2"/>
  <c r="AR132" i="2"/>
  <c r="AX132" i="2"/>
  <c r="AU138" i="2"/>
  <c r="AX138" i="2"/>
  <c r="AR138" i="2"/>
  <c r="AW8" i="4"/>
  <c r="AX8" i="4" s="1"/>
  <c r="AY70" i="4"/>
  <c r="AX70" i="4"/>
  <c r="AU77" i="4"/>
  <c r="AR149" i="2"/>
  <c r="AX149" i="2"/>
  <c r="AU149" i="2"/>
  <c r="AR146" i="2"/>
  <c r="AU146" i="2"/>
  <c r="AX146" i="2"/>
  <c r="AR136" i="2"/>
  <c r="AU136" i="2"/>
  <c r="AX136" i="2"/>
  <c r="BM71" i="4" l="1"/>
  <c r="BE71" i="4"/>
  <c r="I71" i="4"/>
  <c r="AO210" i="2"/>
  <c r="AO211" i="2" s="1"/>
  <c r="AW71" i="4"/>
  <c r="BI71" i="4"/>
  <c r="AV71" i="4"/>
  <c r="BG71" i="4"/>
  <c r="I100" i="4"/>
  <c r="BK71" i="4"/>
  <c r="AM43" i="2" l="1"/>
  <c r="BD25" i="2"/>
  <c r="AM30" i="2"/>
  <c r="AM54" i="2" s="1"/>
  <c r="AM36" i="2"/>
  <c r="AM49" i="2"/>
  <c r="AM35" i="2"/>
  <c r="AM38" i="2"/>
  <c r="AM31" i="2"/>
  <c r="AM55" i="2" s="1"/>
  <c r="AM129" i="2"/>
  <c r="AM44" i="2"/>
  <c r="AM68" i="2" s="1"/>
  <c r="AM34" i="2"/>
  <c r="AM58" i="2" s="1"/>
  <c r="AM39" i="2"/>
  <c r="AM63" i="2" s="1"/>
  <c r="AM48" i="2"/>
  <c r="AM72" i="2" s="1"/>
  <c r="AM37" i="2"/>
  <c r="AM61" i="2" s="1"/>
  <c r="BJ25" i="2"/>
  <c r="BL25" i="2" s="1"/>
  <c r="AM40" i="2"/>
  <c r="AM64" i="2" s="1"/>
  <c r="AO25" i="2"/>
  <c r="AM46" i="2"/>
  <c r="AM70" i="2" s="1"/>
  <c r="AM42" i="2"/>
  <c r="AM66" i="2" s="1"/>
  <c r="AM50" i="2"/>
  <c r="AM74" i="2" s="1"/>
  <c r="AM47" i="2"/>
  <c r="AM45" i="2"/>
  <c r="AM32" i="2"/>
  <c r="AM33" i="2"/>
  <c r="AM57" i="2" s="1"/>
  <c r="AM41" i="2"/>
  <c r="BA25" i="2"/>
  <c r="AN42" i="2"/>
  <c r="AN66" i="2" s="1"/>
  <c r="AN45" i="2"/>
  <c r="AN129" i="2"/>
  <c r="AN47" i="2"/>
  <c r="BB25" i="2"/>
  <c r="BH25" i="2" s="1"/>
  <c r="AN31" i="2"/>
  <c r="AN30" i="2"/>
  <c r="AN54" i="2" s="1"/>
  <c r="AN48" i="2"/>
  <c r="AN72" i="2" s="1"/>
  <c r="AN35" i="2"/>
  <c r="AN59" i="2" s="1"/>
  <c r="AN33" i="2"/>
  <c r="AN57" i="2" s="1"/>
  <c r="AN46" i="2"/>
  <c r="AN70" i="2" s="1"/>
  <c r="AN44" i="2"/>
  <c r="AN68" i="2" s="1"/>
  <c r="AN40" i="2"/>
  <c r="AN39" i="2"/>
  <c r="AN63" i="2" s="1"/>
  <c r="AN34" i="2"/>
  <c r="AN43" i="2"/>
  <c r="AN36" i="2"/>
  <c r="AN41" i="2"/>
  <c r="AN38" i="2"/>
  <c r="AN37" i="2"/>
  <c r="AN61" i="2" s="1"/>
  <c r="BK25" i="2"/>
  <c r="BE25" i="2"/>
  <c r="AN50" i="2"/>
  <c r="AN32" i="2"/>
  <c r="AN49" i="2"/>
  <c r="AY71" i="4"/>
  <c r="AV6" i="4"/>
  <c r="AX6" i="4" s="1"/>
  <c r="AX71" i="4"/>
  <c r="BL71" i="4"/>
  <c r="AV77" i="4"/>
  <c r="AX77" i="4" s="1"/>
  <c r="AN64" i="2" l="1"/>
  <c r="AN56" i="2"/>
  <c r="AN74" i="2"/>
  <c r="B152" i="2"/>
  <c r="B155" i="2" s="1"/>
  <c r="L152" i="2"/>
  <c r="L155" i="2" s="1"/>
  <c r="AD152" i="2"/>
  <c r="AD155" i="2" s="1"/>
  <c r="R152" i="2"/>
  <c r="R155" i="2" s="1"/>
  <c r="E152" i="2"/>
  <c r="E155" i="2" s="1"/>
  <c r="AO129" i="2"/>
  <c r="AA152" i="2"/>
  <c r="AA155" i="2" s="1"/>
  <c r="G152" i="2"/>
  <c r="G155" i="2" s="1"/>
  <c r="U152" i="2"/>
  <c r="U155" i="2" s="1"/>
  <c r="AJ152" i="2"/>
  <c r="AJ155" i="2" s="1"/>
  <c r="X152" i="2"/>
  <c r="X155" i="2" s="1"/>
  <c r="AG152" i="2"/>
  <c r="AG155" i="2" s="1"/>
  <c r="I152" i="2"/>
  <c r="I155" i="2" s="1"/>
  <c r="O152" i="2"/>
  <c r="O155" i="2" s="1"/>
  <c r="AM59" i="2"/>
  <c r="AM194" i="2" s="1"/>
  <c r="AM65" i="2"/>
  <c r="AN65" i="2"/>
  <c r="AN189" i="2" s="1"/>
  <c r="AN60" i="2"/>
  <c r="AM56" i="2"/>
  <c r="AM168" i="2"/>
  <c r="AM183" i="2"/>
  <c r="AM163" i="2"/>
  <c r="AM193" i="2"/>
  <c r="AM173" i="2"/>
  <c r="AM178" i="2"/>
  <c r="AN71" i="2"/>
  <c r="F152" i="2"/>
  <c r="F155" i="2" s="1"/>
  <c r="M152" i="2"/>
  <c r="M155" i="2" s="1"/>
  <c r="C152" i="2"/>
  <c r="C155" i="2" s="1"/>
  <c r="P152" i="2"/>
  <c r="P155" i="2" s="1"/>
  <c r="AH152" i="2"/>
  <c r="AH155" i="2" s="1"/>
  <c r="AK152" i="2"/>
  <c r="AK155" i="2" s="1"/>
  <c r="H152" i="2"/>
  <c r="H155" i="2" s="1"/>
  <c r="Y152" i="2"/>
  <c r="Y155" i="2" s="1"/>
  <c r="V152" i="2"/>
  <c r="V155" i="2" s="1"/>
  <c r="AE152" i="2"/>
  <c r="AE155" i="2" s="1"/>
  <c r="J152" i="2"/>
  <c r="J155" i="2" s="1"/>
  <c r="S152" i="2"/>
  <c r="S155" i="2" s="1"/>
  <c r="AB152" i="2"/>
  <c r="AB155" i="2" s="1"/>
  <c r="AN69" i="2"/>
  <c r="AM62" i="2"/>
  <c r="BG25" i="2"/>
  <c r="BI25" i="2" s="1"/>
  <c r="BC25" i="2"/>
  <c r="AN62" i="2"/>
  <c r="AM60" i="2"/>
  <c r="AN67" i="2"/>
  <c r="AM69" i="2"/>
  <c r="BF25" i="2"/>
  <c r="AN193" i="2"/>
  <c r="AN55" i="2"/>
  <c r="AN73" i="2"/>
  <c r="AN196" i="2" s="1"/>
  <c r="AM73" i="2"/>
  <c r="AM175" i="2" s="1"/>
  <c r="AN58" i="2"/>
  <c r="AM71" i="2"/>
  <c r="AM185" i="2" s="1"/>
  <c r="AM67" i="2"/>
  <c r="AQ155" i="2" l="1"/>
  <c r="AW155" i="2"/>
  <c r="AT155" i="2"/>
  <c r="AS155" i="2"/>
  <c r="AP155" i="2"/>
  <c r="AV155" i="2"/>
  <c r="AN194" i="2"/>
  <c r="AN95" i="2"/>
  <c r="AN190" i="2"/>
  <c r="AM174" i="2"/>
  <c r="X154" i="2"/>
  <c r="X157" i="2"/>
  <c r="AN195" i="2"/>
  <c r="U157" i="2"/>
  <c r="U154" i="2"/>
  <c r="AN188" i="2"/>
  <c r="E157" i="2"/>
  <c r="E154" i="2"/>
  <c r="AM180" i="2"/>
  <c r="AM170" i="2"/>
  <c r="F157" i="2"/>
  <c r="F154" i="2"/>
  <c r="AM96" i="2"/>
  <c r="G154" i="2"/>
  <c r="G157" i="2"/>
  <c r="AI152" i="2"/>
  <c r="AI155" i="2" s="1"/>
  <c r="D152" i="2"/>
  <c r="D155" i="2" s="1"/>
  <c r="T152" i="2"/>
  <c r="T155" i="2" s="1"/>
  <c r="AF152" i="2"/>
  <c r="AF155" i="2" s="1"/>
  <c r="N152" i="2"/>
  <c r="N155" i="2" s="1"/>
  <c r="AC152" i="2"/>
  <c r="AC155" i="2" s="1"/>
  <c r="Q152" i="2"/>
  <c r="Q155" i="2" s="1"/>
  <c r="AL152" i="2"/>
  <c r="AL155" i="2" s="1"/>
  <c r="W152" i="2"/>
  <c r="W155" i="2" s="1"/>
  <c r="Z152" i="2"/>
  <c r="Z155" i="2" s="1"/>
  <c r="K152" i="2"/>
  <c r="K155" i="2" s="1"/>
  <c r="AN163" i="2"/>
  <c r="AN178" i="2"/>
  <c r="AN173" i="2"/>
  <c r="S157" i="2"/>
  <c r="S154" i="2"/>
  <c r="J154" i="2"/>
  <c r="J157" i="2"/>
  <c r="L154" i="2"/>
  <c r="L157" i="2"/>
  <c r="V154" i="2"/>
  <c r="V157" i="2"/>
  <c r="AN169" i="2"/>
  <c r="AN164" i="2"/>
  <c r="H157" i="2"/>
  <c r="H154" i="2"/>
  <c r="AN185" i="2"/>
  <c r="AH154" i="2"/>
  <c r="AH157" i="2"/>
  <c r="AN184" i="2"/>
  <c r="P157" i="2"/>
  <c r="P154" i="2"/>
  <c r="AM184" i="2"/>
  <c r="AM190" i="2"/>
  <c r="AM195" i="2"/>
  <c r="AN170" i="2"/>
  <c r="AN180" i="2"/>
  <c r="R154" i="2"/>
  <c r="R157" i="2"/>
  <c r="AN168" i="2"/>
  <c r="AN183" i="2"/>
  <c r="B157" i="2"/>
  <c r="B154" i="2"/>
  <c r="AV152" i="2"/>
  <c r="AP152" i="2"/>
  <c r="AS152" i="2"/>
  <c r="AM188" i="2"/>
  <c r="AN174" i="2"/>
  <c r="Y154" i="2"/>
  <c r="Y157" i="2"/>
  <c r="AN179" i="2"/>
  <c r="AM95" i="2"/>
  <c r="AM179" i="2"/>
  <c r="AM98" i="2"/>
  <c r="AQ152" i="2"/>
  <c r="AW152" i="2"/>
  <c r="AT152" i="2"/>
  <c r="C157" i="2"/>
  <c r="C154" i="2"/>
  <c r="O157" i="2"/>
  <c r="O154" i="2"/>
  <c r="AM94" i="2"/>
  <c r="AM165" i="2"/>
  <c r="AM97" i="2"/>
  <c r="AG154" i="2"/>
  <c r="AG157" i="2"/>
  <c r="AJ157" i="2"/>
  <c r="AJ154" i="2"/>
  <c r="AN97" i="2"/>
  <c r="AN165" i="2"/>
  <c r="AM196" i="2"/>
  <c r="AA157" i="2"/>
  <c r="AA154" i="2"/>
  <c r="AB154" i="2"/>
  <c r="AB157" i="2"/>
  <c r="AD154" i="2"/>
  <c r="AD157" i="2"/>
  <c r="AE157" i="2"/>
  <c r="AE154" i="2"/>
  <c r="AN98" i="2"/>
  <c r="AM164" i="2"/>
  <c r="AM169" i="2"/>
  <c r="AN96" i="2"/>
  <c r="AK154" i="2"/>
  <c r="AK157" i="2"/>
  <c r="AN94" i="2"/>
  <c r="AN175" i="2"/>
  <c r="M154" i="2"/>
  <c r="M157" i="2"/>
  <c r="I157" i="2"/>
  <c r="I154" i="2"/>
  <c r="AM189" i="2"/>
  <c r="AN100" i="2" l="1"/>
  <c r="AX155" i="2"/>
  <c r="AU155" i="2"/>
  <c r="AR155" i="2"/>
  <c r="AU152" i="2"/>
  <c r="AR152" i="2"/>
  <c r="AX152" i="2"/>
  <c r="D154" i="2"/>
  <c r="D157" i="2"/>
  <c r="AM100" i="2"/>
  <c r="N157" i="2"/>
  <c r="N154" i="2"/>
  <c r="AV154" i="2"/>
  <c r="AP154" i="2"/>
  <c r="AS154" i="2"/>
  <c r="T157" i="2"/>
  <c r="T154" i="2"/>
  <c r="AI154" i="2"/>
  <c r="AI157" i="2"/>
  <c r="Z157" i="2"/>
  <c r="Z154" i="2"/>
  <c r="AL157" i="2"/>
  <c r="AL154" i="2"/>
  <c r="AT154" i="2"/>
  <c r="AW154" i="2"/>
  <c r="AQ154" i="2"/>
  <c r="K157" i="2"/>
  <c r="K154" i="2"/>
  <c r="Q157" i="2"/>
  <c r="Q154" i="2"/>
  <c r="AF157" i="2"/>
  <c r="AF154" i="2"/>
  <c r="AP157" i="2"/>
  <c r="AV157" i="2"/>
  <c r="AS157" i="2"/>
  <c r="AT157" i="2"/>
  <c r="AQ157" i="2"/>
  <c r="AW157" i="2"/>
  <c r="W157" i="2"/>
  <c r="W154" i="2"/>
  <c r="AC157" i="2"/>
  <c r="AC154" i="2"/>
  <c r="AX154" i="2" l="1"/>
  <c r="AR154" i="2"/>
  <c r="AU154" i="2"/>
  <c r="AR157" i="2"/>
  <c r="AX157" i="2"/>
  <c r="AU15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Gernot</author>
  </authors>
  <commentList>
    <comment ref="AY55" authorId="0" shapeId="0" xr:uid="{B550EC9F-B4FD-4F50-A3E5-2663D3E485A3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bis hier weniger als 5 Tage</t>
        </r>
      </text>
    </comment>
  </commentList>
</comments>
</file>

<file path=xl/sharedStrings.xml><?xml version="1.0" encoding="utf-8"?>
<sst xmlns="http://schemas.openxmlformats.org/spreadsheetml/2006/main" count="1516" uniqueCount="420">
  <si>
    <t>Die grün markierten Produkte hast du bei dem entsprechenden Paket inklusive.</t>
  </si>
  <si>
    <t>↓</t>
  </si>
  <si>
    <t>Format</t>
  </si>
  <si>
    <t>UVP-Preis
im F-Shop</t>
  </si>
  <si>
    <t>µ</t>
  </si>
  <si>
    <t>-</t>
  </si>
  <si>
    <t>Deine Kosten</t>
  </si>
  <si>
    <t>/</t>
  </si>
  <si>
    <t>Deine Ersparnis</t>
  </si>
  <si>
    <t>Deine zusätzlichen Produkte</t>
  </si>
  <si>
    <t>x</t>
  </si>
  <si>
    <t>Preis als
Zusatz-produkt</t>
  </si>
  <si>
    <t>Kein Paket</t>
  </si>
  <si>
    <t>Donnerstag</t>
  </si>
  <si>
    <t>Datum</t>
  </si>
  <si>
    <t>Backer</t>
  </si>
  <si>
    <t>€</t>
  </si>
  <si>
    <t>erreichte Ziele</t>
  </si>
  <si>
    <t>nächste Stufe</t>
  </si>
  <si>
    <t>1.</t>
  </si>
  <si>
    <t>2.</t>
  </si>
  <si>
    <t>5.</t>
  </si>
  <si>
    <t>3.</t>
  </si>
  <si>
    <t>7.</t>
  </si>
  <si>
    <t>10.</t>
  </si>
  <si>
    <t>9.</t>
  </si>
  <si>
    <t>11.</t>
  </si>
  <si>
    <t>(alle Angaben ohne Gewähr!)</t>
  </si>
  <si>
    <t>Anzahl Unterstützer je Dankeschön</t>
  </si>
  <si>
    <t>13.</t>
  </si>
  <si>
    <t>15.</t>
  </si>
  <si>
    <t>Tag</t>
  </si>
  <si>
    <t>Wochentag</t>
  </si>
  <si>
    <t>Timecode</t>
  </si>
  <si>
    <t>Uhrzeit</t>
  </si>
  <si>
    <t>h ges.</t>
  </si>
  <si>
    <t>h Diff.</t>
  </si>
  <si>
    <t>€ ges. Ist</t>
  </si>
  <si>
    <t>Abw.</t>
  </si>
  <si>
    <t>€ Diff.</t>
  </si>
  <si>
    <t>Backer ges.</t>
  </si>
  <si>
    <t>€/Backer</t>
  </si>
  <si>
    <t>€/Tag</t>
  </si>
  <si>
    <t>€/Tag ges.</t>
  </si>
  <si>
    <t>Backer Diff.</t>
  </si>
  <si>
    <t>Schnitt l. 5 Tage</t>
  </si>
  <si>
    <t>€/Backer NEU</t>
  </si>
  <si>
    <t>Tag 1 mal X</t>
  </si>
  <si>
    <t>Thorwal (€)</t>
  </si>
  <si>
    <t>Thorwal (Backer)</t>
  </si>
  <si>
    <t>Werkzeuge (€)</t>
  </si>
  <si>
    <t>Werkzeuge (Backer)</t>
  </si>
  <si>
    <t>Mythos (€)</t>
  </si>
  <si>
    <t>Mythos (Backer)</t>
  </si>
  <si>
    <t>MP TW (€)</t>
  </si>
  <si>
    <t>MP TW (B)</t>
  </si>
  <si>
    <t>B</t>
  </si>
  <si>
    <t>Anmerkungen</t>
  </si>
  <si>
    <t>Summe</t>
  </si>
  <si>
    <t>4.</t>
  </si>
  <si>
    <t>6.</t>
  </si>
  <si>
    <t>8.</t>
  </si>
  <si>
    <t>12.</t>
  </si>
  <si>
    <t>14.</t>
  </si>
  <si>
    <t>16.</t>
  </si>
  <si>
    <t>17.</t>
  </si>
  <si>
    <t>18.</t>
  </si>
  <si>
    <t>20.</t>
  </si>
  <si>
    <t>21.</t>
  </si>
  <si>
    <t>19.</t>
  </si>
  <si>
    <t>Nedime (€)</t>
  </si>
  <si>
    <t>Nedime (Backer)</t>
  </si>
  <si>
    <t>Mythen (€)</t>
  </si>
  <si>
    <t>Mythen (Backer)</t>
  </si>
  <si>
    <t>Tag 1</t>
  </si>
  <si>
    <t>Tag 2</t>
  </si>
  <si>
    <t>Min.</t>
  </si>
  <si>
    <t>Max.</t>
  </si>
  <si>
    <t>Kalkulation min.</t>
  </si>
  <si>
    <t>Kalkulation max.</t>
  </si>
  <si>
    <t>€ ges.</t>
  </si>
  <si>
    <t>Prognose</t>
  </si>
  <si>
    <t>Tag 3</t>
  </si>
  <si>
    <t>Schnitt</t>
  </si>
  <si>
    <t>PDF</t>
  </si>
  <si>
    <t>MP AML (€)</t>
  </si>
  <si>
    <t>MP AML (B)</t>
  </si>
  <si>
    <t>SOK (€)</t>
  </si>
  <si>
    <t>SOK (Backer)</t>
  </si>
  <si>
    <t>Tag 4</t>
  </si>
  <si>
    <t>Tag 5</t>
  </si>
  <si>
    <t>Tag 6</t>
  </si>
  <si>
    <t>Tag 7</t>
  </si>
  <si>
    <t>UVP-Preis
im ebook-Shop</t>
  </si>
  <si>
    <t>RE (€)</t>
  </si>
  <si>
    <t>RE (Backer)</t>
  </si>
  <si>
    <t>MP SOK (€)</t>
  </si>
  <si>
    <t>MP SOK (B)</t>
  </si>
  <si>
    <t>Rohals Erben</t>
  </si>
  <si>
    <t>Zusatzprodukt</t>
  </si>
  <si>
    <t>In %</t>
  </si>
  <si>
    <t>Dein Gesamtrabatt</t>
  </si>
  <si>
    <t>Kauf nach CF</t>
  </si>
  <si>
    <r>
      <rPr>
        <b/>
        <u/>
        <sz val="14"/>
        <color theme="1"/>
        <rFont val="Book Antiqua"/>
        <family val="1"/>
      </rPr>
      <t>Digitale/Sonstige</t>
    </r>
    <r>
      <rPr>
        <b/>
        <sz val="14"/>
        <color theme="1"/>
        <rFont val="Book Antiqua"/>
        <family val="1"/>
      </rPr>
      <t xml:space="preserve"> Produkte des Crowdfundings</t>
    </r>
    <r>
      <rPr>
        <b/>
        <sz val="11"/>
        <color rgb="FFFF0000"/>
        <rFont val="Book Antiqua"/>
        <family val="1"/>
      </rPr>
      <t/>
    </r>
  </si>
  <si>
    <t>Mein Wunschpaket umfasst ("x" setzen)</t>
  </si>
  <si>
    <t>Physische Produkte</t>
  </si>
  <si>
    <t>Digitale Produkte</t>
  </si>
  <si>
    <t>Alle Produkte</t>
  </si>
  <si>
    <t>Anteil Unterstützer je Dankeschön</t>
  </si>
  <si>
    <t>s.o.</t>
  </si>
  <si>
    <t>DGG (€)</t>
  </si>
  <si>
    <t>MP RE (€)</t>
  </si>
  <si>
    <t>MP RE (B)</t>
  </si>
  <si>
    <t>DGG (Backer)</t>
  </si>
  <si>
    <t>https://hinter-dem-schwarzen-auge.de/links/</t>
  </si>
  <si>
    <t>Prognose min</t>
  </si>
  <si>
    <t>Prognose max</t>
  </si>
  <si>
    <t>€ max.</t>
  </si>
  <si>
    <t>€ min.</t>
  </si>
  <si>
    <t>Backer min.</t>
  </si>
  <si>
    <t>Backer max.</t>
  </si>
  <si>
    <t>…</t>
  </si>
  <si>
    <t>Umfang</t>
  </si>
  <si>
    <t>Einsteigerbox</t>
  </si>
  <si>
    <t>F</t>
  </si>
  <si>
    <t>k.A.</t>
  </si>
  <si>
    <t>Unterstützen kannst Du uns hier:</t>
  </si>
  <si>
    <t>https://hinter-dem-schwarzen-auge.de/support</t>
  </si>
  <si>
    <t>Das sind die physischen Bestandteile des jeweiligen Dankeschöns(!) wert</t>
  </si>
  <si>
    <t>Das sind die digitalen Bestandteile des jeweiligen Dankeschöns(!) wert</t>
  </si>
  <si>
    <r>
      <t xml:space="preserve">Das zahlst du insgesamt für </t>
    </r>
    <r>
      <rPr>
        <b/>
        <sz val="10"/>
        <color rgb="FFFF0000"/>
        <rFont val="Book Antiqua"/>
        <family val="1"/>
      </rPr>
      <t>dein Wunschpaket</t>
    </r>
    <r>
      <rPr>
        <b/>
        <sz val="10"/>
        <color theme="1"/>
        <rFont val="Book Antiqua"/>
        <family val="1"/>
      </rPr>
      <t xml:space="preserve"> inkl. der Zusatzprodukte</t>
    </r>
  </si>
  <si>
    <r>
      <t xml:space="preserve">Diesen Rabatt gewährt </t>
    </r>
    <r>
      <rPr>
        <b/>
        <i/>
        <sz val="10"/>
        <color rgb="FFFF0000"/>
        <rFont val="Book Antiqua"/>
        <family val="1"/>
      </rPr>
      <t xml:space="preserve">dein Wunschpaket </t>
    </r>
    <r>
      <rPr>
        <b/>
        <i/>
        <sz val="10"/>
        <rFont val="Book Antiqua"/>
        <family val="1"/>
      </rPr>
      <t xml:space="preserve">somit gegenüber dem Einkauf </t>
    </r>
    <r>
      <rPr>
        <b/>
        <i/>
        <sz val="10"/>
        <color theme="1"/>
        <rFont val="Book Antiqua"/>
        <family val="1"/>
      </rPr>
      <t>(nach dem Crowdfunding) im  F-Shop/ulisses-ebook-Shop</t>
    </r>
  </si>
  <si>
    <t>DSK SV (€)</t>
  </si>
  <si>
    <t>DSK SV (Backer)</t>
  </si>
  <si>
    <t>WW (€)</t>
  </si>
  <si>
    <t>WW (Backer)</t>
  </si>
  <si>
    <t>DSK Fasar (€)</t>
  </si>
  <si>
    <t>DSK Fasar (Backer)</t>
  </si>
  <si>
    <t>MP ANB (€)</t>
  </si>
  <si>
    <t>MP ANB (B)</t>
  </si>
  <si>
    <t>MP DSKF (€)</t>
  </si>
  <si>
    <t>MP DSKF (B)</t>
  </si>
  <si>
    <t>MP WdM (€)</t>
  </si>
  <si>
    <t>MP WdM (B)</t>
  </si>
  <si>
    <t>MP DGG (€)</t>
  </si>
  <si>
    <t>MP DGG (B)</t>
  </si>
  <si>
    <t>MP DSKSV (€)</t>
  </si>
  <si>
    <t>MP DSKSV (B)</t>
  </si>
  <si>
    <t>Kauf nach dem CF</t>
  </si>
  <si>
    <t>Min</t>
  </si>
  <si>
    <t>Max</t>
  </si>
  <si>
    <t>DSK Fasar</t>
  </si>
  <si>
    <t>Schleichender Verfall</t>
  </si>
  <si>
    <t>DSK R (Backer)</t>
  </si>
  <si>
    <t>DSK R (€)</t>
  </si>
  <si>
    <t>MP WW (€)</t>
  </si>
  <si>
    <t>MP WW (B)</t>
  </si>
  <si>
    <t>Sehr flach</t>
  </si>
  <si>
    <t>Sehr steil</t>
  </si>
  <si>
    <t>0 €</t>
  </si>
  <si>
    <t>DSK Refurbished</t>
  </si>
  <si>
    <t>Links</t>
  </si>
  <si>
    <t>Zum Crowdfunding kommst du hier (oder mit Klick auf das Bild):</t>
  </si>
  <si>
    <t>Anleitung</t>
  </si>
  <si>
    <r>
      <t xml:space="preserve">made with </t>
    </r>
    <r>
      <rPr>
        <b/>
        <sz val="10"/>
        <color rgb="FFC00000"/>
        <rFont val="Book Antiqua"/>
        <family val="1"/>
      </rPr>
      <t>Auge</t>
    </r>
    <r>
      <rPr>
        <b/>
        <sz val="10"/>
        <color theme="1"/>
        <rFont val="Book Antiqua"/>
        <family val="1"/>
      </rPr>
      <t xml:space="preserve"> by Hinter dem Schwarzen Auge!</t>
    </r>
  </si>
  <si>
    <t>A1:CQ150</t>
  </si>
  <si>
    <t>1. Schätzung</t>
  </si>
  <si>
    <t>Vorherige CF</t>
  </si>
  <si>
    <r>
      <rPr>
        <b/>
        <sz val="19"/>
        <color rgb="FFFF0000"/>
        <rFont val="Book Antiqua"/>
        <family val="1"/>
      </rPr>
      <t>DSA, DSK &amp; AVENTURIA</t>
    </r>
    <r>
      <rPr>
        <b/>
        <sz val="19"/>
        <color theme="1"/>
        <rFont val="Book Antiqua"/>
        <family val="1"/>
      </rPr>
      <t xml:space="preserve">
</t>
    </r>
    <r>
      <rPr>
        <b/>
        <sz val="19"/>
        <color rgb="FF00B050"/>
        <rFont val="Book Antiqua"/>
        <family val="1"/>
      </rPr>
      <t>Nachrichten, Fantalks, Community-Talks, Let's Plays u.v.m.</t>
    </r>
    <r>
      <rPr>
        <b/>
        <sz val="19"/>
        <color theme="1"/>
        <rFont val="Book Antiqua"/>
        <family val="1"/>
      </rPr>
      <t xml:space="preserve">
</t>
    </r>
    <r>
      <rPr>
        <b/>
        <sz val="19"/>
        <color rgb="FF0070C0"/>
        <rFont val="Book Antiqua"/>
        <family val="1"/>
      </rPr>
      <t>auf Twitch, YouTube, Discord, Blog, Facebook, Instagram etc.</t>
    </r>
  </si>
  <si>
    <t>Ära (€)</t>
  </si>
  <si>
    <t>Ära (Backer)</t>
  </si>
  <si>
    <t>MP DSK R (€)</t>
  </si>
  <si>
    <t>MP DSK R (B)</t>
  </si>
  <si>
    <t>Ggf. nach dem CF nur noch sehr begrenzt erhältlich</t>
  </si>
  <si>
    <t>160 Seiten</t>
  </si>
  <si>
    <r>
      <t>Das Geheimnis des Drachenritters</t>
    </r>
    <r>
      <rPr>
        <sz val="8"/>
        <color theme="1"/>
        <rFont val="Book Antiqua"/>
        <family val="1"/>
      </rPr>
      <t xml:space="preserve"> (DSA-Einsteigerbox)</t>
    </r>
  </si>
  <si>
    <t>F/C/R</t>
  </si>
  <si>
    <t>Bereits erhältliches Produkt</t>
  </si>
  <si>
    <r>
      <t>Die Hexe vom Schattenwasser</t>
    </r>
    <r>
      <rPr>
        <sz val="8"/>
        <color theme="1"/>
        <rFont val="Book Antiqua"/>
        <family val="1"/>
      </rPr>
      <t xml:space="preserve"> (Erweiterung für die DSA-Einsteigerbox)</t>
    </r>
  </si>
  <si>
    <t>DSA5 - Das Schwarze Auge Regelwerk</t>
  </si>
  <si>
    <t>A4, Hardcover</t>
  </si>
  <si>
    <t>DSA5 - Aventurischer Almanach</t>
  </si>
  <si>
    <t>Almanach der Ungeheuer</t>
  </si>
  <si>
    <t>B5, HC (Kunstleder)</t>
  </si>
  <si>
    <t>Eynmaleyns der Kreutherkunde</t>
  </si>
  <si>
    <t>A4, Softcover</t>
  </si>
  <si>
    <t>Min/Max 1-4</t>
  </si>
  <si>
    <t>Thorwal</t>
  </si>
  <si>
    <t>Werkzeuge</t>
  </si>
  <si>
    <t>Sonnenküste</t>
  </si>
  <si>
    <t>Gunst d. Göttin</t>
  </si>
  <si>
    <t>Winterwacht</t>
  </si>
  <si>
    <t>1 Statue</t>
  </si>
  <si>
    <t>Zinnguss &amp; Marmorsockel</t>
  </si>
  <si>
    <t>Zusatzprodukt; Schätzpreis; limitiert auf 100 Stück</t>
  </si>
  <si>
    <r>
      <rPr>
        <b/>
        <u/>
        <sz val="14"/>
        <rFont val="Book Antiqua"/>
        <family val="1"/>
      </rPr>
      <t>Physische</t>
    </r>
    <r>
      <rPr>
        <b/>
        <sz val="14"/>
        <rFont val="Book Antiqua"/>
        <family val="1"/>
      </rPr>
      <t xml:space="preserve"> Produkte des Crowdfundings</t>
    </r>
  </si>
  <si>
    <r>
      <t xml:space="preserve">Art
</t>
    </r>
    <r>
      <rPr>
        <b/>
        <sz val="8"/>
        <rFont val="Book Antiqua"/>
        <family val="1"/>
      </rPr>
      <t>(Fluff/
Crunch/
Regeln)</t>
    </r>
  </si>
  <si>
    <r>
      <rPr>
        <b/>
        <u/>
        <sz val="10"/>
        <rFont val="Book Antiqua"/>
        <family val="1"/>
      </rPr>
      <t>Kein</t>
    </r>
    <r>
      <rPr>
        <b/>
        <sz val="10"/>
        <rFont val="Book Antiqua"/>
        <family val="1"/>
      </rPr>
      <t xml:space="preserve"> Paket (Kauf im F-Shop, nach dem CF)</t>
    </r>
  </si>
  <si>
    <r>
      <rPr>
        <strike/>
        <sz val="10"/>
        <color theme="1"/>
        <rFont val="Book Antiqua"/>
        <family val="1"/>
      </rPr>
      <t xml:space="preserve">Limitierte Kaiser Hal-Götterstatue von Kraken Wargames </t>
    </r>
    <r>
      <rPr>
        <b/>
        <sz val="10"/>
        <color rgb="FF00B050"/>
        <rFont val="Book Antiqua"/>
        <family val="1"/>
      </rPr>
      <t>(ab 06.12. exklusiv im Crowdfunding!)</t>
    </r>
  </si>
  <si>
    <t>Mosaik (€)</t>
  </si>
  <si>
    <t>Mosaik (Backer)</t>
  </si>
  <si>
    <t>MP ÄRA (€)</t>
  </si>
  <si>
    <t>MP ÄRA (B)</t>
  </si>
  <si>
    <t>Tag 8</t>
  </si>
  <si>
    <t>Tag 9</t>
  </si>
  <si>
    <t>Tag 10</t>
  </si>
  <si>
    <t>Tag 11</t>
  </si>
  <si>
    <t>Tag 12</t>
  </si>
  <si>
    <t>Tag 13</t>
  </si>
  <si>
    <t>Tag 14</t>
  </si>
  <si>
    <t>Tag 15</t>
  </si>
  <si>
    <t>Tag 16</t>
  </si>
  <si>
    <t>Tag 17</t>
  </si>
  <si>
    <t>Tag 18</t>
  </si>
  <si>
    <t>Tag 19</t>
  </si>
  <si>
    <t>Tag 20</t>
  </si>
  <si>
    <t>Tag 21</t>
  </si>
  <si>
    <t>Differenz</t>
  </si>
  <si>
    <t>MP ANB</t>
  </si>
  <si>
    <t>MP TW</t>
  </si>
  <si>
    <t>MP WdM</t>
  </si>
  <si>
    <t>MP DSKF</t>
  </si>
  <si>
    <t>MP AML</t>
  </si>
  <si>
    <t>MP SOK</t>
  </si>
  <si>
    <t>MP RE</t>
  </si>
  <si>
    <t>MP DGG</t>
  </si>
  <si>
    <t>MP DSKSV</t>
  </si>
  <si>
    <t>MP WW</t>
  </si>
  <si>
    <t>MP DSK R</t>
  </si>
  <si>
    <t>MP ÄRA</t>
  </si>
  <si>
    <t>€ p.P.</t>
  </si>
  <si>
    <t>Hochrechnung aktuelles CF</t>
  </si>
  <si>
    <t>Backer-la.</t>
  </si>
  <si>
    <t>€-lastig</t>
  </si>
  <si>
    <r>
      <t xml:space="preserve">Der "Mosaik der Märchen"-Crowdfunding-Guide       von       </t>
    </r>
    <r>
      <rPr>
        <b/>
        <i/>
        <sz val="18"/>
        <color theme="1"/>
        <rFont val="Book Antiqua"/>
        <family val="1"/>
      </rPr>
      <t>Hinter dem Schwarzen Auge</t>
    </r>
  </si>
  <si>
    <t xml:space="preserve">© 2024 Bild by Ulisses Spiele GmbH               </t>
  </si>
  <si>
    <t>https://www.gameontabletop.com/cf2891/das-schwarze-auge-mosaik-der-marchen.html</t>
  </si>
  <si>
    <t>Digitaler Schattenfuchs</t>
  </si>
  <si>
    <t>Schattenfuchs</t>
  </si>
  <si>
    <t>Silberschwan</t>
  </si>
  <si>
    <t>Finanziert</t>
  </si>
  <si>
    <t>Abbild der Götter</t>
  </si>
  <si>
    <t>Märchenzeichen</t>
  </si>
  <si>
    <t>Zur Erinnerung</t>
  </si>
  <si>
    <t>Der Flussvater</t>
  </si>
  <si>
    <t>Märchenzeichen II</t>
  </si>
  <si>
    <t>Abbild der Götter II</t>
  </si>
  <si>
    <t>Die Tierkönige</t>
  </si>
  <si>
    <t>Zur Erinnerung II</t>
  </si>
  <si>
    <t>Der Rotfuchs</t>
  </si>
  <si>
    <t>Malerische Bögen</t>
  </si>
  <si>
    <t>Mosaik für Öhrchen</t>
  </si>
  <si>
    <r>
      <t xml:space="preserve">Mosaik der Märchen </t>
    </r>
    <r>
      <rPr>
        <sz val="8"/>
        <color theme="1"/>
        <rFont val="Book Antiqua"/>
        <family val="1"/>
      </rPr>
      <t>(Ingame-Sagenband)</t>
    </r>
  </si>
  <si>
    <t>&lt;200 Seiten</t>
  </si>
  <si>
    <t>Notizbuch Mosaik der Märchen</t>
  </si>
  <si>
    <t>Mosaik der Märchen-Artprints</t>
  </si>
  <si>
    <t>unbekannt</t>
  </si>
  <si>
    <t>3 Prints</t>
  </si>
  <si>
    <t>A5, Hardcover</t>
  </si>
  <si>
    <t>A4, festes Papier (stabil verpackt)</t>
  </si>
  <si>
    <t>Mosaik der Märchen-Crowdfunding-Paket</t>
  </si>
  <si>
    <t>diverse</t>
  </si>
  <si>
    <t>A3 (gefaltet)</t>
  </si>
  <si>
    <t>Der Götterschmied</t>
  </si>
  <si>
    <r>
      <t xml:space="preserve">- 2 Poster mit märchenhafter Kunst von Tokala </t>
    </r>
    <r>
      <rPr>
        <b/>
        <i/>
        <sz val="10"/>
        <color theme="1"/>
        <rFont val="Book Antiqua"/>
        <family val="1"/>
      </rPr>
      <t>(1.+ 7. Ziel)</t>
    </r>
  </si>
  <si>
    <t>2 Poster</t>
  </si>
  <si>
    <t>2 Lesezeichen</t>
  </si>
  <si>
    <t>Teil des Crowdfunding-Pakets - Nicht als Einzelprodukt erhältlich!</t>
  </si>
  <si>
    <r>
      <t>- 2 Edle und wertige Lesezeichen</t>
    </r>
    <r>
      <rPr>
        <b/>
        <i/>
        <sz val="10"/>
        <color theme="1"/>
        <rFont val="Book Antiqua"/>
        <family val="1"/>
      </rPr>
      <t xml:space="preserve"> (2. + 5. Ziel)</t>
    </r>
  </si>
  <si>
    <r>
      <t>- 2 Postkarten im Märchendesign</t>
    </r>
    <r>
      <rPr>
        <b/>
        <i/>
        <sz val="10"/>
        <color theme="1"/>
        <rFont val="Book Antiqua"/>
        <family val="1"/>
      </rPr>
      <t xml:space="preserve"> (3. + 9. Ziel)</t>
    </r>
  </si>
  <si>
    <t>2 Postkarten</t>
  </si>
  <si>
    <t>Papier (Postkartenformat)</t>
  </si>
  <si>
    <t>Papier (Lesezeichenformat)</t>
  </si>
  <si>
    <r>
      <t>- Bonusgeschichte "Der Flussvater" von Anton Weste</t>
    </r>
    <r>
      <rPr>
        <b/>
        <i/>
        <sz val="10"/>
        <color theme="1"/>
        <rFont val="Book Antiqua"/>
        <family val="1"/>
      </rPr>
      <t xml:space="preserve"> (4. Ziel)</t>
    </r>
  </si>
  <si>
    <t>Teil des Mosaiks der Märchen - Nicht als Einzelprodukt erhältlich!</t>
  </si>
  <si>
    <r>
      <t>- Bonusgeschichte "Der Götterschmied" von Stefan Unterhuber</t>
    </r>
    <r>
      <rPr>
        <b/>
        <i/>
        <sz val="10"/>
        <color theme="1"/>
        <rFont val="Book Antiqua"/>
        <family val="1"/>
      </rPr>
      <t xml:space="preserve"> (6. Ziel)</t>
    </r>
  </si>
  <si>
    <r>
      <t>- Bonusgeschichte "Die Tierkönige" von Stefan &amp; Franzsika Tannert</t>
    </r>
    <r>
      <rPr>
        <b/>
        <i/>
        <sz val="10"/>
        <color theme="1"/>
        <rFont val="Book Antiqua"/>
        <family val="1"/>
      </rPr>
      <t xml:space="preserve"> (8. Ziel)</t>
    </r>
  </si>
  <si>
    <r>
      <t xml:space="preserve">- Bonusgeschichte "Der Rotfuchs" von Anna Taube </t>
    </r>
    <r>
      <rPr>
        <b/>
        <i/>
        <sz val="10"/>
        <color theme="1"/>
        <rFont val="Book Antiqua"/>
        <family val="1"/>
      </rPr>
      <t>(10. Ziel)</t>
    </r>
  </si>
  <si>
    <r>
      <t>- Digitale Ausmalbilder</t>
    </r>
    <r>
      <rPr>
        <b/>
        <i/>
        <sz val="10"/>
        <color theme="1"/>
        <rFont val="Book Antiqua"/>
        <family val="1"/>
      </rPr>
      <t xml:space="preserve"> (11. Ziel)</t>
    </r>
  </si>
  <si>
    <t>Ausmalbilder</t>
  </si>
  <si>
    <t>Preis nach dem CF könnte höher sein!</t>
  </si>
  <si>
    <t>Schätzpreis, Preis im/nach CF ist unbekannt</t>
  </si>
  <si>
    <t>Erweiterung des Buchs</t>
  </si>
  <si>
    <t>Erweiterung des PDFs</t>
  </si>
  <si>
    <t>Notizbuch des Gottwals</t>
  </si>
  <si>
    <t>A5, Hardcover (Kunstleder)</t>
  </si>
  <si>
    <t>Atelier der Zauberbilder</t>
  </si>
  <si>
    <t>Atelier der Zauberbilder II</t>
  </si>
  <si>
    <t>Notizbuch des Adepten</t>
  </si>
  <si>
    <t>Notizbuch des Wüstenreichs</t>
  </si>
  <si>
    <t>Catalogus Heptasphaericum</t>
  </si>
  <si>
    <t>Das Heldenbrevier der Gestade des Gottwals</t>
  </si>
  <si>
    <t>Das Heldenbrevier der Sonnenküste</t>
  </si>
  <si>
    <t>Das Heldenbrevier der Gildenmagie</t>
  </si>
  <si>
    <t>Das Heldenbrevier der Dampfenden Dschungel</t>
  </si>
  <si>
    <t>Das Heldenbrevier von Havena</t>
  </si>
  <si>
    <t>Das Heldenbrevier des Wüstenreichs</t>
  </si>
  <si>
    <t>Kor-Vademecum</t>
  </si>
  <si>
    <t>Tsa-Vademecum</t>
  </si>
  <si>
    <t>Ifirn-Vademecum</t>
  </si>
  <si>
    <t>Hesinde Vademecum</t>
  </si>
  <si>
    <t>Boron-Vademecum</t>
  </si>
  <si>
    <t>Aves-Vademecum</t>
  </si>
  <si>
    <t>Praios-Vademecum</t>
  </si>
  <si>
    <t>Rahja-Vademecum</t>
  </si>
  <si>
    <t>Rondra-Vademecum</t>
  </si>
  <si>
    <t>Phex-Vademecum</t>
  </si>
  <si>
    <t>Nandus-Vademecum</t>
  </si>
  <si>
    <t>Kamaluq-Vademecum</t>
  </si>
  <si>
    <t>Mada-Vademecum</t>
  </si>
  <si>
    <t>Peraine Vademecum</t>
  </si>
  <si>
    <t>Mokoscha Vademecum</t>
  </si>
  <si>
    <t>Travia-Vademecum</t>
  </si>
  <si>
    <t>Swafnir-Vademecum</t>
  </si>
  <si>
    <t>Rastullah-Vademecum</t>
  </si>
  <si>
    <t>Ingerimm-Vademecum</t>
  </si>
  <si>
    <r>
      <t xml:space="preserve">Das kostet </t>
    </r>
    <r>
      <rPr>
        <b/>
        <i/>
        <sz val="10"/>
        <color rgb="FFC00000"/>
        <rFont val="Book Antiqua"/>
        <family val="1"/>
      </rPr>
      <t>dein Wunschpaket</t>
    </r>
    <r>
      <rPr>
        <b/>
        <i/>
        <sz val="10"/>
        <color theme="1"/>
        <rFont val="Book Antiqua"/>
        <family val="1"/>
      </rPr>
      <t>(nach dem Crowdfunding) (voraussichtlich) im F-Shop/ulisses-ebook-Shop</t>
    </r>
  </si>
  <si>
    <r>
      <t xml:space="preserve">Das sparst Du </t>
    </r>
    <r>
      <rPr>
        <b/>
        <sz val="20"/>
        <color rgb="FF00B050"/>
        <rFont val="Book Antiqua"/>
        <family val="1"/>
      </rPr>
      <t xml:space="preserve">(grüner Betrag)
</t>
    </r>
    <r>
      <rPr>
        <b/>
        <sz val="20"/>
        <color theme="1"/>
        <rFont val="Book Antiqua"/>
        <family val="1"/>
      </rPr>
      <t>oder das zahlst Du mehr (</t>
    </r>
    <r>
      <rPr>
        <b/>
        <sz val="20"/>
        <color rgb="FFC00000"/>
        <rFont val="Book Antiqua"/>
        <family val="1"/>
      </rPr>
      <t>roter Betrag</t>
    </r>
    <r>
      <rPr>
        <b/>
        <sz val="20"/>
        <color theme="1"/>
        <rFont val="Book Antiqua"/>
        <family val="1"/>
      </rPr>
      <t>),
wenn du stattdessen folgendes Dankeschön wählst…</t>
    </r>
  </si>
  <si>
    <t>B5, HC (Leinen, Buchschnitt) + PDF</t>
  </si>
  <si>
    <r>
      <t xml:space="preserve">Das kostet </t>
    </r>
    <r>
      <rPr>
        <b/>
        <i/>
        <sz val="10"/>
        <color rgb="FFC00000"/>
        <rFont val="Book Antiqua"/>
        <family val="1"/>
      </rPr>
      <t>dein Wunschpaket inkl. zusätzlicher Produkte</t>
    </r>
    <r>
      <rPr>
        <b/>
        <i/>
        <sz val="10"/>
        <color rgb="FFFF0000"/>
        <rFont val="Book Antiqua"/>
        <family val="1"/>
      </rPr>
      <t xml:space="preserve"> </t>
    </r>
    <r>
      <rPr>
        <b/>
        <i/>
        <sz val="10"/>
        <rFont val="Book Antiqua"/>
        <family val="1"/>
      </rPr>
      <t xml:space="preserve">(nach dem CF) im </t>
    </r>
    <r>
      <rPr>
        <b/>
        <i/>
        <sz val="10"/>
        <color theme="1"/>
        <rFont val="Book Antiqua"/>
        <family val="1"/>
      </rPr>
      <t>F-Shop/ulisses-ebook-Shop (voraussichtlich) insgesamt</t>
    </r>
  </si>
  <si>
    <r>
      <t xml:space="preserve">Diesen Gesamtrabatt gewährt </t>
    </r>
    <r>
      <rPr>
        <b/>
        <i/>
        <sz val="10"/>
        <color rgb="FFC00000"/>
        <rFont val="Book Antiqua"/>
        <family val="1"/>
      </rPr>
      <t xml:space="preserve">dein Wunschpaket inkl. zusätzlicher Produkte </t>
    </r>
    <r>
      <rPr>
        <b/>
        <i/>
        <sz val="10"/>
        <color theme="1"/>
        <rFont val="Book Antiqua"/>
        <family val="1"/>
      </rPr>
      <t>somit gegenüber dem Einkauf (nach dem CF) insgesamt</t>
    </r>
  </si>
  <si>
    <r>
      <t xml:space="preserve">Die zusätzlichen Produkte, die du </t>
    </r>
    <r>
      <rPr>
        <b/>
        <i/>
        <sz val="10"/>
        <color rgb="FF0070C0"/>
        <rFont val="Book Antiqua"/>
        <family val="1"/>
      </rPr>
      <t>bei deiner Kombination</t>
    </r>
    <r>
      <rPr>
        <b/>
        <i/>
        <sz val="10"/>
        <color theme="1"/>
        <rFont val="Book Antiqua"/>
        <family val="1"/>
      </rPr>
      <t xml:space="preserve"> erhältst, die </t>
    </r>
    <r>
      <rPr>
        <b/>
        <i/>
        <sz val="10"/>
        <color rgb="FFC00000"/>
        <rFont val="Book Antiqua"/>
        <family val="1"/>
      </rPr>
      <t xml:space="preserve">nicht Teil deines Wunschpakets </t>
    </r>
    <r>
      <rPr>
        <b/>
        <i/>
        <sz val="10"/>
        <rFont val="Book Antiqua"/>
        <family val="1"/>
      </rPr>
      <t>si</t>
    </r>
    <r>
      <rPr>
        <b/>
        <i/>
        <sz val="10"/>
        <color theme="1"/>
        <rFont val="Book Antiqua"/>
        <family val="1"/>
      </rPr>
      <t>nd, haben folgenden Wert</t>
    </r>
  </si>
  <si>
    <t>Das sind die physischen &amp; digitalen Bestandteile des jeweiligen Dankeschöns(!) wert</t>
  </si>
  <si>
    <t>Bitte setze hier "x" für deine Wunschprodukte</t>
  </si>
  <si>
    <t>Extrema</t>
  </si>
  <si>
    <t>Mittelwert</t>
  </si>
  <si>
    <t>Zielwerte</t>
  </si>
  <si>
    <t>Anteile kumuliert</t>
  </si>
  <si>
    <t>Anteil/Tag</t>
  </si>
  <si>
    <t>Anteil Restlaufzeit</t>
  </si>
  <si>
    <t>Faktor</t>
  </si>
  <si>
    <t>Starkes Finale</t>
  </si>
  <si>
    <t>Schwaches Finale</t>
  </si>
  <si>
    <t>5 Tage</t>
  </si>
  <si>
    <t>6 Tage</t>
  </si>
  <si>
    <t>+ Starkes Finale</t>
  </si>
  <si>
    <t>+ Schwaches Finale</t>
  </si>
  <si>
    <t>Ära d.Kaisers</t>
  </si>
  <si>
    <t>AVENTURIA
Mythen&amp;Leg.</t>
  </si>
  <si>
    <t>AVENTURIA
Nedime</t>
  </si>
  <si>
    <t>Anteil Blöcke</t>
  </si>
  <si>
    <t>Tag 1-7</t>
  </si>
  <si>
    <t>Tag 8-14</t>
  </si>
  <si>
    <t>Tag 15-21</t>
  </si>
  <si>
    <t>Tag 1-3</t>
  </si>
  <si>
    <t>Tag 19-21</t>
  </si>
  <si>
    <t>Tag 4-18</t>
  </si>
  <si>
    <t>Tag 1-2</t>
  </si>
  <si>
    <t>Tag 3-19</t>
  </si>
  <si>
    <t>Tag 20-21</t>
  </si>
  <si>
    <t>UNTER VORBEHALT!</t>
  </si>
  <si>
    <t>GESAMT</t>
  </si>
  <si>
    <t>Tag 1-4</t>
  </si>
  <si>
    <t>Tag 5-16</t>
  </si>
  <si>
    <t>Tag 17-21</t>
  </si>
  <si>
    <t>Tag 4-15</t>
  </si>
  <si>
    <t>Tag 16-21</t>
  </si>
  <si>
    <t>Tag 3-15</t>
  </si>
  <si>
    <t>Erste 2 Tage</t>
  </si>
  <si>
    <t>Letzte 6 Tage</t>
  </si>
  <si>
    <t>Mittlere 13 Tage</t>
  </si>
  <si>
    <t>Letzte 2 Tage</t>
  </si>
  <si>
    <t>Mittlere 17 Tage</t>
  </si>
  <si>
    <t>Erste 3 Tage</t>
  </si>
  <si>
    <t>Letzte 3 Tage</t>
  </si>
  <si>
    <t>Mittlere 15 Tage</t>
  </si>
  <si>
    <t>Mittlere 12 Tage</t>
  </si>
  <si>
    <t>Erste 4 Tage</t>
  </si>
  <si>
    <t>Letzte 4 Tage</t>
  </si>
  <si>
    <t>Erste 7 Tage</t>
  </si>
  <si>
    <t>Mittlere 7 Tage</t>
  </si>
  <si>
    <t>Letzte 7 Tage</t>
  </si>
  <si>
    <t>Tag 2-8</t>
  </si>
  <si>
    <t>Tag 9-18</t>
  </si>
  <si>
    <t>Erster Tag</t>
  </si>
  <si>
    <t>Zweite 7 Tage</t>
  </si>
  <si>
    <t>Dritte 10 Tage</t>
  </si>
  <si>
    <r>
      <t>Wähle im Register "</t>
    </r>
    <r>
      <rPr>
        <b/>
        <u/>
        <sz val="10"/>
        <color theme="1"/>
        <rFont val="Book Antiqua"/>
        <family val="1"/>
      </rPr>
      <t>CF-Guide</t>
    </r>
    <r>
      <rPr>
        <b/>
        <sz val="10"/>
        <color theme="1"/>
        <rFont val="Book Antiqua"/>
        <family val="1"/>
      </rPr>
      <t>" deine</t>
    </r>
    <r>
      <rPr>
        <b/>
        <sz val="10"/>
        <color rgb="FFC00000"/>
        <rFont val="Book Antiqua"/>
        <family val="1"/>
      </rPr>
      <t xml:space="preserve"> Wunschprodukte (setze dafür ein "x" in der ersten Spalte)</t>
    </r>
    <r>
      <rPr>
        <b/>
        <sz val="10"/>
        <color theme="1"/>
        <rFont val="Book Antiqua"/>
        <family val="1"/>
      </rPr>
      <t xml:space="preserve"> und lass dir anzeigen, welches Paket bzw. welche Kombination für dich am besten passt!</t>
    </r>
  </si>
  <si>
    <r>
      <t>Die orange markierten Produkte musst du bei dem entsprechenden Paket als Zusatzprodukt ("</t>
    </r>
    <r>
      <rPr>
        <b/>
        <u/>
        <sz val="10"/>
        <color theme="1"/>
        <rFont val="Book Antiqua"/>
        <family val="1"/>
      </rPr>
      <t>Zusatzprodukt</t>
    </r>
    <r>
      <rPr>
        <b/>
        <sz val="10"/>
        <color theme="1"/>
        <rFont val="Book Antiqua"/>
        <family val="1"/>
      </rPr>
      <t xml:space="preserve">") im CF hinzubuchen
</t>
    </r>
    <r>
      <rPr>
        <b/>
        <sz val="10"/>
        <color rgb="FF00B050"/>
        <rFont val="Book Antiqua"/>
        <family val="1"/>
      </rPr>
      <t>ODER</t>
    </r>
    <r>
      <rPr>
        <b/>
        <sz val="10"/>
        <color theme="1"/>
        <rFont val="Book Antiqua"/>
        <family val="1"/>
      </rPr>
      <t xml:space="preserve"> diese sind beim physischen Produkt bereits enthalten ("</t>
    </r>
    <r>
      <rPr>
        <b/>
        <u/>
        <sz val="10"/>
        <color theme="1"/>
        <rFont val="Book Antiqua"/>
        <family val="1"/>
      </rPr>
      <t>enthalten</t>
    </r>
    <r>
      <rPr>
        <b/>
        <sz val="10"/>
        <color theme="1"/>
        <rFont val="Book Antiqua"/>
        <family val="1"/>
      </rPr>
      <t xml:space="preserve">")
</t>
    </r>
    <r>
      <rPr>
        <b/>
        <sz val="10"/>
        <color rgb="FF00B050"/>
        <rFont val="Book Antiqua"/>
        <family val="1"/>
      </rPr>
      <t>ODER</t>
    </r>
    <r>
      <rPr>
        <b/>
        <sz val="10"/>
        <color theme="1"/>
        <rFont val="Book Antiqua"/>
        <family val="1"/>
      </rPr>
      <t xml:space="preserve"> du musst sie nach dem CF im F-Shop bzw. Ulisses-ebook-Shop erwerben ("</t>
    </r>
    <r>
      <rPr>
        <b/>
        <u/>
        <sz val="10"/>
        <color theme="1"/>
        <rFont val="Book Antiqua"/>
        <family val="1"/>
      </rPr>
      <t>Kauf nach CF</t>
    </r>
    <r>
      <rPr>
        <b/>
        <sz val="10"/>
        <color theme="1"/>
        <rFont val="Book Antiqua"/>
        <family val="1"/>
      </rPr>
      <t>")</t>
    </r>
  </si>
  <si>
    <t>Aktuelles CF mit Verlauf von…</t>
  </si>
  <si>
    <t>SCHNITT</t>
  </si>
  <si>
    <t>MIN</t>
  </si>
  <si>
    <t>MAX</t>
  </si>
  <si>
    <t>Alle Links zum Projekt findest du hier (Klick):</t>
  </si>
  <si>
    <t>Prognose (könnte passen, oder auch nicht ;) )</t>
  </si>
  <si>
    <t>Normierte Beträge/Zahlen</t>
  </si>
  <si>
    <t>Differenzen zu Prognose</t>
  </si>
  <si>
    <t>Standardabweichung</t>
  </si>
  <si>
    <t>Geringste Standardabw.</t>
  </si>
  <si>
    <t>Durchschn. Abw.</t>
  </si>
  <si>
    <t>Höchste Standardabw.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</si>
  <si>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</si>
  <si>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</si>
  <si>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</si>
  <si>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</si>
  <si>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</si>
  <si>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</si>
  <si>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</si>
  <si>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</si>
  <si>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</si>
  <si>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Nedime &amp; Borbarad</t>
  </si>
  <si>
    <t>Ned (€)</t>
  </si>
  <si>
    <t>Ned (Backer)</t>
  </si>
  <si>
    <t>Ned (€/B)</t>
  </si>
  <si>
    <t>Werkz (€/B)</t>
  </si>
  <si>
    <t>DSK Fasar (€/B)</t>
  </si>
  <si>
    <t>SPERREN &amp; AUSBLENDEN</t>
  </si>
  <si>
    <t>Schätzpreis, wird es erst nach dem CF zu kaufen geben</t>
  </si>
  <si>
    <r>
      <t xml:space="preserve">Mosaik der Märchen-Hörbuch </t>
    </r>
    <r>
      <rPr>
        <b/>
        <sz val="10"/>
        <color theme="1"/>
        <rFont val="Book Antiqua"/>
        <family val="1"/>
      </rPr>
      <t>(12. Ziel)</t>
    </r>
  </si>
  <si>
    <t>mp3 (vermutlich)</t>
  </si>
  <si>
    <t>20-&gt;21</t>
  </si>
  <si>
    <t>Alle Ziele erreicht</t>
  </si>
  <si>
    <t>Dankeschön</t>
  </si>
  <si>
    <t>Wert</t>
  </si>
  <si>
    <t>Anteil</t>
  </si>
  <si>
    <t>Endstand</t>
  </si>
  <si>
    <t>18:00</t>
  </si>
  <si>
    <t>Stand Ist</t>
  </si>
  <si>
    <t>Verlauf</t>
  </si>
  <si>
    <t>St.abw. 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</si>
</sst>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\ &quot;€&quot;"/>
    <numFmt numFmtId="165" formatCode="#,##0.00\ &quot;€&quot;"/>
    <numFmt numFmtId="166" formatCode="[$£-809]#,##0"/>
    <numFmt numFmtId="167" formatCode="0.0%"/>
    <numFmt numFmtId="168" formatCode="dddd"/>
    <numFmt numFmtId="169" formatCode="h:mm;@"/>
    <numFmt numFmtId="170" formatCode="[h]:mm"/>
    <numFmt numFmtId="171" formatCode="0&quot;. Tag&quot;"/>
    <numFmt numFmtId="172" formatCode="dd/mm/yy"/>
    <numFmt numFmtId="173" formatCode="dd/mm/yy\,\ hh:mm"/>
  </numFmts>
  <fonts count="9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Book Antiqua"/>
      <family val="1"/>
    </font>
    <font>
      <b/>
      <i/>
      <sz val="10"/>
      <color rgb="FFFF0000"/>
      <name val="Book Antiqua"/>
      <family val="1"/>
    </font>
    <font>
      <i/>
      <sz val="10"/>
      <color theme="1"/>
      <name val="Book Antiqua"/>
      <family val="1"/>
    </font>
    <font>
      <b/>
      <i/>
      <sz val="10"/>
      <name val="Book Antiqua"/>
      <family val="1"/>
    </font>
    <font>
      <b/>
      <i/>
      <sz val="10"/>
      <color theme="1"/>
      <name val="Book Antiqua"/>
      <family val="1"/>
    </font>
    <font>
      <b/>
      <i/>
      <sz val="10"/>
      <color rgb="FF0070C0"/>
      <name val="Book Antiqua"/>
      <family val="1"/>
    </font>
    <font>
      <sz val="10"/>
      <color rgb="FFFF0000"/>
      <name val="Book Antiqua"/>
      <family val="1"/>
    </font>
    <font>
      <u/>
      <sz val="11"/>
      <color theme="10"/>
      <name val="Calibri"/>
      <family val="2"/>
      <scheme val="minor"/>
    </font>
    <font>
      <sz val="10"/>
      <color theme="1"/>
      <name val="Book Antiqua"/>
      <family val="1"/>
    </font>
    <font>
      <b/>
      <sz val="10"/>
      <color rgb="FFFF0000"/>
      <name val="Book Antiqua"/>
      <family val="1"/>
    </font>
    <font>
      <b/>
      <sz val="12"/>
      <color theme="1"/>
      <name val="Book Antiqua"/>
      <family val="1"/>
    </font>
    <font>
      <i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name val="Calibri"/>
      <family val="2"/>
      <scheme val="minor"/>
    </font>
    <font>
      <b/>
      <sz val="10"/>
      <name val="Book Antiqua"/>
      <family val="1"/>
    </font>
    <font>
      <b/>
      <sz val="12"/>
      <color rgb="FFFF0000"/>
      <name val="Book Antiqua"/>
      <family val="1"/>
    </font>
    <font>
      <b/>
      <sz val="10"/>
      <color rgb="FF00B050"/>
      <name val="Book Antiqua"/>
      <family val="1"/>
    </font>
    <font>
      <i/>
      <sz val="10"/>
      <color rgb="FFFF0000"/>
      <name val="Book Antiqua"/>
      <family val="1"/>
    </font>
    <font>
      <b/>
      <sz val="10"/>
      <color theme="1"/>
      <name val="Book Antiqua"/>
      <family val="1"/>
    </font>
    <font>
      <b/>
      <sz val="10"/>
      <color rgb="FFC00000"/>
      <name val="Book Antiqua"/>
      <family val="1"/>
    </font>
    <font>
      <sz val="10"/>
      <color rgb="FF00B050"/>
      <name val="Book Antiqua"/>
      <family val="1"/>
    </font>
    <font>
      <sz val="10"/>
      <name val="Book Antiqua"/>
      <family val="1"/>
    </font>
    <font>
      <strike/>
      <sz val="10"/>
      <color theme="1"/>
      <name val="Book Antiqua"/>
      <family val="1"/>
    </font>
    <font>
      <i/>
      <sz val="10"/>
      <color rgb="FF00B050"/>
      <name val="Book Antiqua"/>
      <family val="1"/>
    </font>
    <font>
      <i/>
      <sz val="10"/>
      <name val="Book Antiqua"/>
      <family val="1"/>
    </font>
    <font>
      <sz val="14"/>
      <color theme="1"/>
      <name val="Wingdings"/>
      <charset val="2"/>
    </font>
    <font>
      <sz val="13"/>
      <color rgb="FFFF0000"/>
      <name val="Book Antiqua"/>
      <family val="1"/>
    </font>
    <font>
      <i/>
      <sz val="13"/>
      <color rgb="FFFF0000"/>
      <name val="Book Antiqua"/>
      <family val="1"/>
    </font>
    <font>
      <sz val="8"/>
      <color theme="1"/>
      <name val="Book Antiqua"/>
      <family val="1"/>
    </font>
    <font>
      <b/>
      <sz val="10"/>
      <color rgb="FF7030A0"/>
      <name val="Book Antiqua"/>
      <family val="1"/>
    </font>
    <font>
      <b/>
      <sz val="9"/>
      <color rgb="FF00B050"/>
      <name val="Book Antiqua"/>
      <family val="1"/>
    </font>
    <font>
      <b/>
      <sz val="9"/>
      <name val="Book Antiqua"/>
      <family val="1"/>
    </font>
    <font>
      <b/>
      <sz val="14"/>
      <color rgb="FFFF0000"/>
      <name val="Book Antiqua"/>
      <family val="1"/>
    </font>
    <font>
      <b/>
      <sz val="10"/>
      <color theme="5"/>
      <name val="Book Antiqua"/>
      <family val="1"/>
    </font>
    <font>
      <b/>
      <sz val="14"/>
      <color theme="1"/>
      <name val="Book Antiqua"/>
      <family val="1"/>
    </font>
    <font>
      <b/>
      <u/>
      <sz val="14"/>
      <color theme="1"/>
      <name val="Book Antiqua"/>
      <family val="1"/>
    </font>
    <font>
      <b/>
      <sz val="10"/>
      <color rgb="FFFD23ED"/>
      <name val="Book Antiqua"/>
      <family val="1"/>
    </font>
    <font>
      <b/>
      <u/>
      <sz val="14"/>
      <color theme="10"/>
      <name val="Book Antiqua"/>
      <family val="1"/>
    </font>
    <font>
      <b/>
      <sz val="20"/>
      <color theme="1"/>
      <name val="Book Antiqua"/>
      <family val="1"/>
    </font>
    <font>
      <b/>
      <sz val="20"/>
      <color rgb="FF00B050"/>
      <name val="Book Antiqua"/>
      <family val="1"/>
    </font>
    <font>
      <b/>
      <sz val="10"/>
      <color rgb="FF00B0F0"/>
      <name val="Book Antiqua"/>
      <family val="1"/>
    </font>
    <font>
      <b/>
      <sz val="11"/>
      <color theme="0"/>
      <name val="Calibri"/>
      <family val="2"/>
      <scheme val="minor"/>
    </font>
    <font>
      <b/>
      <sz val="10"/>
      <color theme="5" tint="-0.499984740745262"/>
      <name val="Book Antiqua"/>
      <family val="1"/>
    </font>
    <font>
      <b/>
      <sz val="10"/>
      <color theme="9" tint="-0.249977111117893"/>
      <name val="Book Antiqua"/>
      <family val="1"/>
    </font>
    <font>
      <i/>
      <sz val="11"/>
      <color theme="0"/>
      <name val="Calibri"/>
      <family val="2"/>
      <scheme val="minor"/>
    </font>
    <font>
      <b/>
      <sz val="30"/>
      <color rgb="FFFF0000"/>
      <name val="Book Antiqua"/>
      <family val="1"/>
    </font>
    <font>
      <b/>
      <sz val="18"/>
      <color theme="1"/>
      <name val="Book Antiqua"/>
      <family val="1"/>
    </font>
    <font>
      <b/>
      <sz val="14"/>
      <name val="Book Antiqua"/>
      <family val="1"/>
    </font>
    <font>
      <b/>
      <sz val="16"/>
      <name val="Book Antiqua"/>
      <family val="1"/>
    </font>
    <font>
      <sz val="14"/>
      <color theme="1"/>
      <name val="Book Antiqua"/>
      <family val="1"/>
    </font>
    <font>
      <b/>
      <i/>
      <sz val="10"/>
      <color rgb="FF00B050"/>
      <name val="Book Antiqua"/>
      <family val="1"/>
    </font>
    <font>
      <b/>
      <sz val="19"/>
      <color theme="1"/>
      <name val="Book Antiqua"/>
      <family val="1"/>
    </font>
    <font>
      <b/>
      <sz val="19"/>
      <color rgb="FFFF0000"/>
      <name val="Book Antiqua"/>
      <family val="1"/>
    </font>
    <font>
      <b/>
      <sz val="19"/>
      <color rgb="FF00B050"/>
      <name val="Book Antiqua"/>
      <family val="1"/>
    </font>
    <font>
      <b/>
      <sz val="19"/>
      <color rgb="FF0070C0"/>
      <name val="Book Antiqua"/>
      <family val="1"/>
    </font>
    <font>
      <b/>
      <sz val="25"/>
      <color rgb="FFFF0000"/>
      <name val="Book Antiqua"/>
      <family val="1"/>
    </font>
    <font>
      <b/>
      <sz val="12"/>
      <name val="Book Antiqua"/>
      <family val="1"/>
    </font>
    <font>
      <b/>
      <sz val="10"/>
      <color theme="7" tint="-0.249977111117893"/>
      <name val="Book Antiqua"/>
      <family val="1"/>
    </font>
    <font>
      <b/>
      <sz val="10"/>
      <color rgb="FF0070C0"/>
      <name val="Book Antiqua"/>
      <family val="1"/>
    </font>
    <font>
      <b/>
      <i/>
      <sz val="18"/>
      <color theme="1"/>
      <name val="Book Antiqua"/>
      <family val="1"/>
    </font>
    <font>
      <b/>
      <u/>
      <sz val="13"/>
      <color theme="10"/>
      <name val="Book Antiqua"/>
      <family val="1"/>
    </font>
    <font>
      <b/>
      <u/>
      <sz val="14"/>
      <name val="Book Antiqua"/>
      <family val="1"/>
    </font>
    <font>
      <b/>
      <sz val="8"/>
      <name val="Book Antiqua"/>
      <family val="1"/>
    </font>
    <font>
      <b/>
      <u/>
      <sz val="10"/>
      <name val="Book Antiqua"/>
      <family val="1"/>
    </font>
    <font>
      <b/>
      <sz val="12"/>
      <color rgb="FFC00000"/>
      <name val="Book Antiqua"/>
      <family val="1"/>
    </font>
    <font>
      <b/>
      <sz val="10"/>
      <color rgb="FFC4BF00"/>
      <name val="Book Antiqua"/>
      <family val="1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theme="10"/>
      <name val="Book Antiqua"/>
      <family val="1"/>
    </font>
    <font>
      <sz val="10"/>
      <color rgb="FFC00000"/>
      <name val="Book Antiqua"/>
      <family val="1"/>
    </font>
    <font>
      <i/>
      <sz val="10"/>
      <color rgb="FFC00000"/>
      <name val="Book Antiqua"/>
      <family val="1"/>
    </font>
    <font>
      <b/>
      <i/>
      <sz val="10"/>
      <color rgb="FFC00000"/>
      <name val="Book Antiqua"/>
      <family val="1"/>
    </font>
    <font>
      <b/>
      <sz val="20"/>
      <color rgb="FFC00000"/>
      <name val="Book Antiqua"/>
      <family val="1"/>
    </font>
    <font>
      <b/>
      <sz val="8"/>
      <color theme="0"/>
      <name val="Book Antiqua"/>
      <family val="1"/>
    </font>
    <font>
      <b/>
      <sz val="14"/>
      <color theme="1"/>
      <name val="Wingdings"/>
      <charset val="2"/>
    </font>
    <font>
      <b/>
      <sz val="8"/>
      <color rgb="FF00B050"/>
      <name val="Book Antiqua"/>
      <family val="1"/>
    </font>
    <font>
      <b/>
      <sz val="14"/>
      <color rgb="FF00B050"/>
      <name val="Wingdings"/>
      <charset val="2"/>
    </font>
    <font>
      <b/>
      <sz val="10"/>
      <color rgb="FF89E3B8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0"/>
      <color rgb="FFCC3399"/>
      <name val="Book Antiqua"/>
      <family val="1"/>
    </font>
    <font>
      <b/>
      <sz val="10"/>
      <color theme="2" tint="-0.499984740745262"/>
      <name val="Book Antiqua"/>
      <family val="1"/>
    </font>
    <font>
      <b/>
      <u/>
      <sz val="10"/>
      <color theme="1"/>
      <name val="Book Antiqua"/>
      <family val="1"/>
    </font>
    <font>
      <b/>
      <i/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theme="4"/>
      </patternFill>
    </fill>
    <fill>
      <patternFill patternType="solid">
        <fgColor rgb="FF00B05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 style="medium">
        <color rgb="FFFF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4506668294322"/>
      </left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26">
    <xf numFmtId="0" fontId="0" fillId="0" borderId="0" xfId="0"/>
    <xf numFmtId="0" fontId="10" fillId="3" borderId="0" xfId="0" applyFont="1" applyFill="1"/>
    <xf numFmtId="0" fontId="15" fillId="3" borderId="0" xfId="0" applyFont="1" applyFill="1"/>
    <xf numFmtId="3" fontId="1" fillId="0" borderId="0" xfId="0" applyNumberFormat="1" applyFont="1"/>
    <xf numFmtId="2" fontId="1" fillId="0" borderId="0" xfId="0" applyNumberFormat="1" applyFont="1"/>
    <xf numFmtId="0" fontId="6" fillId="0" borderId="0" xfId="0" applyFont="1"/>
    <xf numFmtId="3" fontId="0" fillId="0" borderId="0" xfId="0" applyNumberFormat="1"/>
    <xf numFmtId="2" fontId="6" fillId="0" borderId="0" xfId="0" applyNumberFormat="1" applyFont="1"/>
    <xf numFmtId="3" fontId="1" fillId="6" borderId="0" xfId="0" applyNumberFormat="1" applyFont="1" applyFill="1"/>
    <xf numFmtId="3" fontId="3" fillId="0" borderId="0" xfId="0" applyNumberFormat="1" applyFont="1"/>
    <xf numFmtId="0" fontId="4" fillId="0" borderId="0" xfId="0" applyFont="1"/>
    <xf numFmtId="3" fontId="3" fillId="6" borderId="0" xfId="0" applyNumberFormat="1" applyFont="1" applyFill="1"/>
    <xf numFmtId="2" fontId="3" fillId="0" borderId="0" xfId="0" applyNumberFormat="1" applyFont="1"/>
    <xf numFmtId="2" fontId="21" fillId="0" borderId="0" xfId="0" applyNumberFormat="1" applyFont="1"/>
    <xf numFmtId="0" fontId="1" fillId="0" borderId="0" xfId="0" applyFont="1"/>
    <xf numFmtId="0" fontId="21" fillId="0" borderId="0" xfId="0" applyFont="1"/>
    <xf numFmtId="2" fontId="4" fillId="0" borderId="0" xfId="0" applyNumberFormat="1" applyFont="1"/>
    <xf numFmtId="2" fontId="1" fillId="0" borderId="34" xfId="0" applyNumberFormat="1" applyFont="1" applyBorder="1"/>
    <xf numFmtId="2" fontId="1" fillId="0" borderId="36" xfId="0" applyNumberFormat="1" applyFont="1" applyBorder="1"/>
    <xf numFmtId="2" fontId="6" fillId="0" borderId="37" xfId="0" applyNumberFormat="1" applyFont="1" applyBorder="1"/>
    <xf numFmtId="2" fontId="6" fillId="0" borderId="39" xfId="0" applyNumberFormat="1" applyFont="1" applyBorder="1"/>
    <xf numFmtId="2" fontId="1" fillId="0" borderId="39" xfId="0" applyNumberFormat="1" applyFont="1" applyBorder="1"/>
    <xf numFmtId="4" fontId="1" fillId="0" borderId="0" xfId="0" applyNumberFormat="1" applyFont="1"/>
    <xf numFmtId="4" fontId="0" fillId="0" borderId="0" xfId="0" applyNumberFormat="1"/>
    <xf numFmtId="1" fontId="1" fillId="0" borderId="0" xfId="0" applyNumberFormat="1" applyFont="1"/>
    <xf numFmtId="0" fontId="10" fillId="7" borderId="0" xfId="0" applyFont="1" applyFill="1"/>
    <xf numFmtId="0" fontId="15" fillId="7" borderId="0" xfId="0" applyFont="1" applyFill="1"/>
    <xf numFmtId="0" fontId="9" fillId="7" borderId="0" xfId="0" applyFont="1" applyFill="1"/>
    <xf numFmtId="2" fontId="2" fillId="0" borderId="0" xfId="0" applyNumberFormat="1" applyFont="1"/>
    <xf numFmtId="2" fontId="21" fillId="0" borderId="35" xfId="0" applyNumberFormat="1" applyFont="1" applyBorder="1"/>
    <xf numFmtId="2" fontId="3" fillId="0" borderId="39" xfId="0" applyNumberFormat="1" applyFont="1" applyBorder="1"/>
    <xf numFmtId="2" fontId="21" fillId="0" borderId="39" xfId="0" applyNumberFormat="1" applyFont="1" applyBorder="1"/>
    <xf numFmtId="2" fontId="18" fillId="0" borderId="0" xfId="0" applyNumberFormat="1" applyFont="1"/>
    <xf numFmtId="2" fontId="2" fillId="0" borderId="39" xfId="0" applyNumberFormat="1" applyFont="1" applyBorder="1"/>
    <xf numFmtId="2" fontId="18" fillId="0" borderId="39" xfId="0" applyNumberFormat="1" applyFont="1" applyBorder="1"/>
    <xf numFmtId="0" fontId="13" fillId="7" borderId="0" xfId="0" applyFont="1" applyFill="1"/>
    <xf numFmtId="0" fontId="25" fillId="7" borderId="0" xfId="0" applyFont="1" applyFill="1"/>
    <xf numFmtId="0" fontId="26" fillId="7" borderId="0" xfId="0" applyFont="1" applyFill="1" applyAlignment="1">
      <alignment horizontal="center" vertical="center"/>
    </xf>
    <xf numFmtId="3" fontId="24" fillId="7" borderId="28" xfId="0" applyNumberFormat="1" applyFont="1" applyFill="1" applyBorder="1" applyAlignment="1">
      <alignment horizontal="center" vertical="center"/>
    </xf>
    <xf numFmtId="3" fontId="28" fillId="7" borderId="5" xfId="0" applyNumberFormat="1" applyFont="1" applyFill="1" applyBorder="1" applyAlignment="1">
      <alignment vertical="center"/>
    </xf>
    <xf numFmtId="3" fontId="24" fillId="7" borderId="11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/>
    </xf>
    <xf numFmtId="2" fontId="24" fillId="7" borderId="0" xfId="0" applyNumberFormat="1" applyFont="1" applyFill="1" applyAlignment="1">
      <alignment horizontal="center" vertical="center"/>
    </xf>
    <xf numFmtId="3" fontId="15" fillId="7" borderId="0" xfId="0" applyNumberFormat="1" applyFont="1" applyFill="1"/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3" fontId="26" fillId="7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7" borderId="0" xfId="0" applyFont="1" applyFill="1" applyAlignment="1">
      <alignment horizontal="right" vertical="center"/>
    </xf>
    <xf numFmtId="3" fontId="13" fillId="7" borderId="0" xfId="0" applyNumberFormat="1" applyFont="1" applyFill="1" applyAlignment="1">
      <alignment horizontal="center" vertical="center"/>
    </xf>
    <xf numFmtId="0" fontId="28" fillId="7" borderId="0" xfId="0" applyFont="1" applyFill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165" fontId="15" fillId="0" borderId="7" xfId="0" quotePrefix="1" applyNumberFormat="1" applyFont="1" applyBorder="1" applyAlignment="1">
      <alignment horizontal="right" vertical="center"/>
    </xf>
    <xf numFmtId="165" fontId="15" fillId="0" borderId="7" xfId="0" quotePrefix="1" applyNumberFormat="1" applyFont="1" applyBorder="1" applyAlignment="1">
      <alignment horizontal="left" vertical="center"/>
    </xf>
    <xf numFmtId="0" fontId="15" fillId="0" borderId="0" xfId="0" applyFont="1"/>
    <xf numFmtId="0" fontId="13" fillId="7" borderId="0" xfId="0" applyFont="1" applyFill="1" applyAlignment="1">
      <alignment vertical="center"/>
    </xf>
    <xf numFmtId="0" fontId="9" fillId="0" borderId="0" xfId="0" applyFont="1"/>
    <xf numFmtId="0" fontId="22" fillId="7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168" fontId="28" fillId="7" borderId="0" xfId="0" applyNumberFormat="1" applyFont="1" applyFill="1" applyAlignment="1">
      <alignment horizontal="right" vertical="center"/>
    </xf>
    <xf numFmtId="172" fontId="28" fillId="7" borderId="0" xfId="0" applyNumberFormat="1" applyFont="1" applyFill="1" applyAlignment="1">
      <alignment horizontal="center" vertical="center"/>
    </xf>
    <xf numFmtId="20" fontId="28" fillId="7" borderId="0" xfId="0" applyNumberFormat="1" applyFont="1" applyFill="1" applyAlignment="1">
      <alignment horizontal="center" vertical="center"/>
    </xf>
    <xf numFmtId="169" fontId="28" fillId="7" borderId="0" xfId="0" applyNumberFormat="1" applyFont="1" applyFill="1" applyAlignment="1">
      <alignment vertical="center"/>
    </xf>
    <xf numFmtId="170" fontId="28" fillId="7" borderId="0" xfId="0" applyNumberFormat="1" applyFont="1" applyFill="1" applyAlignment="1">
      <alignment vertical="center"/>
    </xf>
    <xf numFmtId="164" fontId="28" fillId="7" borderId="5" xfId="0" applyNumberFormat="1" applyFont="1" applyFill="1" applyBorder="1" applyAlignment="1">
      <alignment vertical="center"/>
    </xf>
    <xf numFmtId="1" fontId="28" fillId="7" borderId="5" xfId="0" applyNumberFormat="1" applyFont="1" applyFill="1" applyBorder="1" applyAlignment="1">
      <alignment vertical="center"/>
    </xf>
    <xf numFmtId="164" fontId="28" fillId="7" borderId="0" xfId="0" applyNumberFormat="1" applyFont="1" applyFill="1" applyAlignment="1">
      <alignment vertical="center"/>
    </xf>
    <xf numFmtId="165" fontId="31" fillId="7" borderId="0" xfId="0" applyNumberFormat="1" applyFont="1" applyFill="1" applyAlignment="1">
      <alignment vertical="center"/>
    </xf>
    <xf numFmtId="165" fontId="28" fillId="7" borderId="0" xfId="0" applyNumberFormat="1" applyFont="1" applyFill="1" applyAlignment="1">
      <alignment vertical="center"/>
    </xf>
    <xf numFmtId="164" fontId="13" fillId="7" borderId="0" xfId="0" applyNumberFormat="1" applyFont="1" applyFill="1" applyAlignment="1">
      <alignment vertical="center"/>
    </xf>
    <xf numFmtId="0" fontId="28" fillId="3" borderId="0" xfId="0" applyFont="1" applyFill="1"/>
    <xf numFmtId="164" fontId="24" fillId="7" borderId="5" xfId="0" applyNumberFormat="1" applyFont="1" applyFill="1" applyBorder="1" applyAlignment="1">
      <alignment vertical="center"/>
    </xf>
    <xf numFmtId="3" fontId="24" fillId="7" borderId="5" xfId="0" applyNumberFormat="1" applyFont="1" applyFill="1" applyBorder="1" applyAlignment="1">
      <alignment vertical="center"/>
    </xf>
    <xf numFmtId="1" fontId="24" fillId="7" borderId="5" xfId="0" applyNumberFormat="1" applyFont="1" applyFill="1" applyBorder="1" applyAlignment="1">
      <alignment vertical="center"/>
    </xf>
    <xf numFmtId="3" fontId="28" fillId="7" borderId="0" xfId="0" applyNumberFormat="1" applyFont="1" applyFill="1" applyAlignment="1">
      <alignment vertical="center"/>
    </xf>
    <xf numFmtId="0" fontId="28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right" vertical="center"/>
    </xf>
    <xf numFmtId="0" fontId="29" fillId="7" borderId="0" xfId="0" applyFont="1" applyFill="1" applyAlignment="1">
      <alignment horizontal="center" vertical="center"/>
    </xf>
    <xf numFmtId="168" fontId="29" fillId="7" borderId="0" xfId="0" applyNumberFormat="1" applyFont="1" applyFill="1" applyAlignment="1">
      <alignment vertical="center"/>
    </xf>
    <xf numFmtId="172" fontId="29" fillId="7" borderId="0" xfId="0" applyNumberFormat="1" applyFont="1" applyFill="1" applyAlignment="1">
      <alignment horizontal="center" vertical="center"/>
    </xf>
    <xf numFmtId="20" fontId="29" fillId="7" borderId="0" xfId="0" applyNumberFormat="1" applyFont="1" applyFill="1" applyAlignment="1">
      <alignment horizontal="center" vertical="center"/>
    </xf>
    <xf numFmtId="169" fontId="29" fillId="7" borderId="0" xfId="0" applyNumberFormat="1" applyFont="1" applyFill="1" applyAlignment="1">
      <alignment vertical="center"/>
    </xf>
    <xf numFmtId="170" fontId="29" fillId="7" borderId="0" xfId="0" applyNumberFormat="1" applyFont="1" applyFill="1" applyAlignment="1">
      <alignment vertical="center"/>
    </xf>
    <xf numFmtId="165" fontId="32" fillId="7" borderId="0" xfId="0" applyNumberFormat="1" applyFont="1" applyFill="1" applyAlignment="1">
      <alignment vertical="center"/>
    </xf>
    <xf numFmtId="165" fontId="29" fillId="7" borderId="0" xfId="0" applyNumberFormat="1" applyFont="1" applyFill="1" applyAlignment="1">
      <alignment vertical="center"/>
    </xf>
    <xf numFmtId="164" fontId="29" fillId="7" borderId="0" xfId="0" applyNumberFormat="1" applyFont="1" applyFill="1" applyAlignment="1">
      <alignment vertical="center"/>
    </xf>
    <xf numFmtId="3" fontId="29" fillId="7" borderId="0" xfId="0" applyNumberFormat="1" applyFont="1" applyFill="1" applyAlignment="1">
      <alignment vertical="center"/>
    </xf>
    <xf numFmtId="0" fontId="29" fillId="3" borderId="0" xfId="0" applyFont="1" applyFill="1"/>
    <xf numFmtId="0" fontId="29" fillId="7" borderId="0" xfId="0" applyFont="1" applyFill="1"/>
    <xf numFmtId="0" fontId="22" fillId="7" borderId="0" xfId="0" applyFont="1" applyFill="1" applyAlignment="1">
      <alignment horizontal="center" vertical="center"/>
    </xf>
    <xf numFmtId="164" fontId="22" fillId="7" borderId="0" xfId="0" applyNumberFormat="1" applyFont="1" applyFill="1" applyAlignment="1">
      <alignment vertical="center"/>
    </xf>
    <xf numFmtId="165" fontId="29" fillId="7" borderId="5" xfId="0" applyNumberFormat="1" applyFont="1" applyFill="1" applyBorder="1" applyAlignment="1">
      <alignment vertical="center"/>
    </xf>
    <xf numFmtId="3" fontId="22" fillId="7" borderId="0" xfId="0" applyNumberFormat="1" applyFont="1" applyFill="1" applyAlignment="1">
      <alignment horizontal="center" vertical="center"/>
    </xf>
    <xf numFmtId="0" fontId="29" fillId="7" borderId="0" xfId="0" applyFont="1" applyFill="1" applyAlignment="1">
      <alignment horizontal="center"/>
    </xf>
    <xf numFmtId="3" fontId="22" fillId="7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5" fontId="16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5" fillId="4" borderId="0" xfId="0" applyFont="1" applyFill="1"/>
    <xf numFmtId="165" fontId="15" fillId="7" borderId="0" xfId="0" applyNumberFormat="1" applyFont="1" applyFill="1"/>
    <xf numFmtId="165" fontId="13" fillId="7" borderId="0" xfId="0" applyNumberFormat="1" applyFont="1" applyFill="1"/>
    <xf numFmtId="0" fontId="33" fillId="0" borderId="4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3" fontId="22" fillId="7" borderId="5" xfId="0" applyNumberFormat="1" applyFont="1" applyFill="1" applyBorder="1"/>
    <xf numFmtId="0" fontId="15" fillId="9" borderId="0" xfId="0" applyFont="1" applyFill="1"/>
    <xf numFmtId="0" fontId="15" fillId="9" borderId="0" xfId="0" applyFont="1" applyFill="1" applyAlignment="1">
      <alignment vertical="center"/>
    </xf>
    <xf numFmtId="0" fontId="15" fillId="9" borderId="0" xfId="0" applyFont="1" applyFill="1" applyAlignment="1">
      <alignment horizontal="center" vertical="center"/>
    </xf>
    <xf numFmtId="0" fontId="30" fillId="9" borderId="0" xfId="0" applyFont="1" applyFill="1" applyAlignment="1">
      <alignment vertical="center"/>
    </xf>
    <xf numFmtId="0" fontId="9" fillId="9" borderId="0" xfId="0" applyFont="1" applyFill="1"/>
    <xf numFmtId="0" fontId="10" fillId="9" borderId="0" xfId="0" applyFont="1" applyFill="1"/>
    <xf numFmtId="3" fontId="13" fillId="9" borderId="0" xfId="0" applyNumberFormat="1" applyFont="1" applyFill="1" applyAlignment="1">
      <alignment horizontal="center"/>
    </xf>
    <xf numFmtId="3" fontId="22" fillId="9" borderId="0" xfId="0" applyNumberFormat="1" applyFont="1" applyFill="1" applyAlignment="1">
      <alignment horizontal="center"/>
    </xf>
    <xf numFmtId="14" fontId="28" fillId="9" borderId="0" xfId="0" applyNumberFormat="1" applyFont="1" applyFill="1" applyAlignment="1">
      <alignment horizontal="center"/>
    </xf>
    <xf numFmtId="14" fontId="29" fillId="9" borderId="0" xfId="0" applyNumberFormat="1" applyFont="1" applyFill="1" applyAlignment="1">
      <alignment horizontal="center"/>
    </xf>
    <xf numFmtId="0" fontId="29" fillId="9" borderId="0" xfId="0" applyFont="1" applyFill="1"/>
    <xf numFmtId="4" fontId="16" fillId="9" borderId="0" xfId="0" applyNumberFormat="1" applyFont="1" applyFill="1" applyAlignment="1">
      <alignment horizontal="center" vertical="center"/>
    </xf>
    <xf numFmtId="0" fontId="24" fillId="9" borderId="0" xfId="0" applyFont="1" applyFill="1" applyAlignment="1">
      <alignment horizontal="center"/>
    </xf>
    <xf numFmtId="165" fontId="16" fillId="9" borderId="0" xfId="0" applyNumberFormat="1" applyFont="1" applyFill="1" applyAlignment="1">
      <alignment horizontal="right"/>
    </xf>
    <xf numFmtId="165" fontId="15" fillId="9" borderId="0" xfId="0" applyNumberFormat="1" applyFont="1" applyFill="1" applyAlignment="1">
      <alignment horizontal="right"/>
    </xf>
    <xf numFmtId="0" fontId="22" fillId="9" borderId="0" xfId="0" applyFont="1" applyFill="1" applyAlignment="1">
      <alignment horizontal="center"/>
    </xf>
    <xf numFmtId="0" fontId="28" fillId="9" borderId="0" xfId="0" applyFont="1" applyFill="1"/>
    <xf numFmtId="0" fontId="15" fillId="9" borderId="0" xfId="0" applyFont="1" applyFill="1" applyAlignment="1">
      <alignment horizontal="center"/>
    </xf>
    <xf numFmtId="164" fontId="15" fillId="9" borderId="0" xfId="0" applyNumberFormat="1" applyFont="1" applyFill="1" applyAlignment="1">
      <alignment horizontal="center"/>
    </xf>
    <xf numFmtId="165" fontId="15" fillId="9" borderId="0" xfId="0" applyNumberFormat="1" applyFont="1" applyFill="1" applyAlignment="1">
      <alignment horizontal="left"/>
    </xf>
    <xf numFmtId="3" fontId="16" fillId="9" borderId="0" xfId="0" applyNumberFormat="1" applyFont="1" applyFill="1" applyAlignment="1">
      <alignment horizontal="center" vertical="center"/>
    </xf>
    <xf numFmtId="164" fontId="26" fillId="9" borderId="0" xfId="0" applyNumberFormat="1" applyFont="1" applyFill="1" applyAlignment="1">
      <alignment vertical="center"/>
    </xf>
    <xf numFmtId="164" fontId="15" fillId="9" borderId="0" xfId="0" applyNumberFormat="1" applyFont="1" applyFill="1" applyAlignment="1">
      <alignment horizontal="center" vertical="center"/>
    </xf>
    <xf numFmtId="165" fontId="16" fillId="9" borderId="0" xfId="0" applyNumberFormat="1" applyFont="1" applyFill="1" applyAlignment="1">
      <alignment horizontal="right" vertical="center"/>
    </xf>
    <xf numFmtId="165" fontId="26" fillId="9" borderId="0" xfId="0" applyNumberFormat="1" applyFont="1" applyFill="1" applyAlignment="1">
      <alignment horizontal="right" vertical="center"/>
    </xf>
    <xf numFmtId="165" fontId="8" fillId="9" borderId="0" xfId="0" applyNumberFormat="1" applyFont="1" applyFill="1" applyAlignment="1">
      <alignment horizontal="right"/>
    </xf>
    <xf numFmtId="165" fontId="9" fillId="9" borderId="0" xfId="0" applyNumberFormat="1" applyFont="1" applyFill="1" applyAlignment="1">
      <alignment horizontal="right"/>
    </xf>
    <xf numFmtId="165" fontId="15" fillId="9" borderId="0" xfId="0" applyNumberFormat="1" applyFont="1" applyFill="1"/>
    <xf numFmtId="166" fontId="15" fillId="9" borderId="0" xfId="0" applyNumberFormat="1" applyFont="1" applyFill="1"/>
    <xf numFmtId="3" fontId="13" fillId="9" borderId="0" xfId="0" applyNumberFormat="1" applyFont="1" applyFill="1" applyAlignment="1">
      <alignment horizontal="left"/>
    </xf>
    <xf numFmtId="164" fontId="16" fillId="9" borderId="0" xfId="0" applyNumberFormat="1" applyFont="1" applyFill="1" applyAlignment="1">
      <alignment horizontal="right"/>
    </xf>
    <xf numFmtId="3" fontId="29" fillId="9" borderId="0" xfId="0" applyNumberFormat="1" applyFont="1" applyFill="1" applyAlignment="1">
      <alignment horizontal="center"/>
    </xf>
    <xf numFmtId="3" fontId="13" fillId="9" borderId="1" xfId="0" applyNumberFormat="1" applyFont="1" applyFill="1" applyBorder="1" applyAlignment="1">
      <alignment horizontal="center"/>
    </xf>
    <xf numFmtId="0" fontId="22" fillId="10" borderId="5" xfId="0" applyFont="1" applyFill="1" applyBorder="1" applyAlignment="1">
      <alignment horizontal="right" vertical="center"/>
    </xf>
    <xf numFmtId="165" fontId="26" fillId="10" borderId="7" xfId="0" applyNumberFormat="1" applyFont="1" applyFill="1" applyBorder="1" applyAlignment="1">
      <alignment horizontal="center" vertical="center" wrapText="1"/>
    </xf>
    <xf numFmtId="164" fontId="26" fillId="10" borderId="27" xfId="0" applyNumberFormat="1" applyFont="1" applyFill="1" applyBorder="1" applyAlignment="1">
      <alignment horizontal="center" vertical="center"/>
    </xf>
    <xf numFmtId="164" fontId="26" fillId="10" borderId="41" xfId="0" applyNumberFormat="1" applyFont="1" applyFill="1" applyBorder="1" applyAlignment="1">
      <alignment horizontal="center" vertical="center"/>
    </xf>
    <xf numFmtId="173" fontId="38" fillId="9" borderId="0" xfId="0" applyNumberFormat="1" applyFont="1" applyFill="1" applyAlignment="1">
      <alignment horizontal="left"/>
    </xf>
    <xf numFmtId="173" fontId="39" fillId="9" borderId="0" xfId="0" applyNumberFormat="1" applyFont="1" applyFill="1" applyAlignment="1">
      <alignment horizontal="left"/>
    </xf>
    <xf numFmtId="164" fontId="22" fillId="7" borderId="0" xfId="0" applyNumberFormat="1" applyFont="1" applyFill="1" applyAlignment="1">
      <alignment horizontal="left" vertical="center"/>
    </xf>
    <xf numFmtId="3" fontId="40" fillId="7" borderId="0" xfId="0" applyNumberFormat="1" applyFont="1" applyFill="1" applyAlignment="1">
      <alignment horizontal="center" vertical="center"/>
    </xf>
    <xf numFmtId="164" fontId="26" fillId="10" borderId="4" xfId="0" applyNumberFormat="1" applyFont="1" applyFill="1" applyBorder="1" applyAlignment="1">
      <alignment horizontal="center" vertical="center" wrapText="1"/>
    </xf>
    <xf numFmtId="164" fontId="26" fillId="10" borderId="5" xfId="0" applyNumberFormat="1" applyFont="1" applyFill="1" applyBorder="1" applyAlignment="1">
      <alignment horizontal="center" vertical="center" wrapText="1"/>
    </xf>
    <xf numFmtId="164" fontId="26" fillId="10" borderId="6" xfId="0" applyNumberFormat="1" applyFont="1" applyFill="1" applyBorder="1" applyAlignment="1">
      <alignment horizontal="center" vertical="center" wrapText="1"/>
    </xf>
    <xf numFmtId="0" fontId="28" fillId="7" borderId="0" xfId="0" applyFont="1" applyFill="1"/>
    <xf numFmtId="0" fontId="31" fillId="7" borderId="0" xfId="0" applyFont="1" applyFill="1"/>
    <xf numFmtId="164" fontId="15" fillId="7" borderId="0" xfId="0" applyNumberFormat="1" applyFont="1" applyFill="1"/>
    <xf numFmtId="3" fontId="24" fillId="9" borderId="0" xfId="0" applyNumberFormat="1" applyFont="1" applyFill="1" applyAlignment="1">
      <alignment horizontal="right"/>
    </xf>
    <xf numFmtId="9" fontId="9" fillId="10" borderId="10" xfId="0" applyNumberFormat="1" applyFont="1" applyFill="1" applyBorder="1" applyAlignment="1">
      <alignment horizontal="center" vertical="center"/>
    </xf>
    <xf numFmtId="9" fontId="9" fillId="10" borderId="16" xfId="0" applyNumberFormat="1" applyFont="1" applyFill="1" applyBorder="1" applyAlignment="1">
      <alignment horizontal="center" vertical="center"/>
    </xf>
    <xf numFmtId="164" fontId="9" fillId="10" borderId="5" xfId="0" applyNumberFormat="1" applyFont="1" applyFill="1" applyBorder="1" applyAlignment="1">
      <alignment horizontal="center" vertical="center"/>
    </xf>
    <xf numFmtId="164" fontId="9" fillId="10" borderId="29" xfId="0" applyNumberFormat="1" applyFont="1" applyFill="1" applyBorder="1" applyAlignment="1">
      <alignment horizontal="center" vertical="center"/>
    </xf>
    <xf numFmtId="0" fontId="42" fillId="10" borderId="4" xfId="0" applyFont="1" applyFill="1" applyBorder="1" applyAlignment="1">
      <alignment horizontal="center" vertical="center"/>
    </xf>
    <xf numFmtId="0" fontId="42" fillId="10" borderId="5" xfId="0" applyFont="1" applyFill="1" applyBorder="1" applyAlignment="1">
      <alignment horizontal="center" vertical="center"/>
    </xf>
    <xf numFmtId="165" fontId="42" fillId="10" borderId="7" xfId="0" applyNumberFormat="1" applyFont="1" applyFill="1" applyBorder="1" applyAlignment="1">
      <alignment horizontal="center" vertical="center" wrapText="1"/>
    </xf>
    <xf numFmtId="3" fontId="10" fillId="11" borderId="20" xfId="0" applyNumberFormat="1" applyFont="1" applyFill="1" applyBorder="1" applyAlignment="1">
      <alignment horizontal="center" vertical="center"/>
    </xf>
    <xf numFmtId="164" fontId="11" fillId="11" borderId="27" xfId="0" applyNumberFormat="1" applyFont="1" applyFill="1" applyBorder="1" applyAlignment="1">
      <alignment horizontal="center" vertical="center"/>
    </xf>
    <xf numFmtId="164" fontId="11" fillId="11" borderId="41" xfId="0" applyNumberFormat="1" applyFont="1" applyFill="1" applyBorder="1" applyAlignment="1">
      <alignment horizontal="center" vertical="center"/>
    </xf>
    <xf numFmtId="165" fontId="11" fillId="11" borderId="1" xfId="0" applyNumberFormat="1" applyFont="1" applyFill="1" applyBorder="1" applyAlignment="1">
      <alignment horizontal="right" vertical="center"/>
    </xf>
    <xf numFmtId="3" fontId="22" fillId="10" borderId="48" xfId="0" applyNumberFormat="1" applyFont="1" applyFill="1" applyBorder="1" applyAlignment="1">
      <alignment horizontal="center" vertical="center"/>
    </xf>
    <xf numFmtId="9" fontId="11" fillId="10" borderId="5" xfId="0" applyNumberFormat="1" applyFont="1" applyFill="1" applyBorder="1" applyAlignment="1">
      <alignment horizontal="center" vertical="center"/>
    </xf>
    <xf numFmtId="9" fontId="11" fillId="10" borderId="29" xfId="0" applyNumberFormat="1" applyFont="1" applyFill="1" applyBorder="1" applyAlignment="1">
      <alignment horizontal="center" vertical="center"/>
    </xf>
    <xf numFmtId="0" fontId="29" fillId="9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8" fillId="9" borderId="0" xfId="0" applyFont="1" applyFill="1" applyAlignment="1">
      <alignment vertical="center"/>
    </xf>
    <xf numFmtId="3" fontId="28" fillId="7" borderId="0" xfId="0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34" fillId="8" borderId="8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vertical="center"/>
    </xf>
    <xf numFmtId="0" fontId="15" fillId="8" borderId="5" xfId="0" applyFont="1" applyFill="1" applyBorder="1" applyAlignment="1">
      <alignment horizontal="left" vertical="center"/>
    </xf>
    <xf numFmtId="165" fontId="15" fillId="8" borderId="7" xfId="0" quotePrefix="1" applyNumberFormat="1" applyFont="1" applyFill="1" applyBorder="1" applyAlignment="1">
      <alignment horizontal="right" vertical="center"/>
    </xf>
    <xf numFmtId="165" fontId="15" fillId="8" borderId="7" xfId="0" quotePrefix="1" applyNumberFormat="1" applyFont="1" applyFill="1" applyBorder="1" applyAlignment="1">
      <alignment horizontal="left" vertical="center"/>
    </xf>
    <xf numFmtId="3" fontId="1" fillId="2" borderId="0" xfId="0" applyNumberFormat="1" applyFont="1" applyFill="1"/>
    <xf numFmtId="3" fontId="22" fillId="7" borderId="0" xfId="0" applyNumberFormat="1" applyFont="1" applyFill="1"/>
    <xf numFmtId="3" fontId="16" fillId="9" borderId="0" xfId="0" applyNumberFormat="1" applyFont="1" applyFill="1" applyAlignment="1">
      <alignment horizontal="right"/>
    </xf>
    <xf numFmtId="164" fontId="26" fillId="9" borderId="5" xfId="0" applyNumberFormat="1" applyFont="1" applyFill="1" applyBorder="1" applyAlignment="1">
      <alignment horizontal="left" vertical="center"/>
    </xf>
    <xf numFmtId="164" fontId="29" fillId="9" borderId="5" xfId="0" applyNumberFormat="1" applyFont="1" applyFill="1" applyBorder="1" applyAlignment="1">
      <alignment horizontal="center" vertical="center"/>
    </xf>
    <xf numFmtId="164" fontId="26" fillId="9" borderId="10" xfId="0" applyNumberFormat="1" applyFont="1" applyFill="1" applyBorder="1" applyAlignment="1">
      <alignment horizontal="left" vertical="center"/>
    </xf>
    <xf numFmtId="164" fontId="29" fillId="9" borderId="16" xfId="0" applyNumberFormat="1" applyFont="1" applyFill="1" applyBorder="1" applyAlignment="1">
      <alignment horizontal="center" vertical="center"/>
    </xf>
    <xf numFmtId="164" fontId="13" fillId="7" borderId="0" xfId="0" applyNumberFormat="1" applyFont="1" applyFill="1" applyAlignment="1">
      <alignment horizontal="center" vertical="center"/>
    </xf>
    <xf numFmtId="164" fontId="16" fillId="7" borderId="5" xfId="0" applyNumberFormat="1" applyFont="1" applyFill="1" applyBorder="1" applyAlignment="1">
      <alignment horizontal="center"/>
    </xf>
    <xf numFmtId="164" fontId="24" fillId="7" borderId="5" xfId="0" applyNumberFormat="1" applyFont="1" applyFill="1" applyBorder="1" applyAlignment="1">
      <alignment horizontal="center"/>
    </xf>
    <xf numFmtId="0" fontId="15" fillId="0" borderId="4" xfId="0" applyFont="1" applyBorder="1" applyAlignment="1">
      <alignment vertical="center" wrapText="1"/>
    </xf>
    <xf numFmtId="164" fontId="22" fillId="7" borderId="0" xfId="0" applyNumberFormat="1" applyFont="1" applyFill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164" fontId="26" fillId="9" borderId="0" xfId="0" applyNumberFormat="1" applyFont="1" applyFill="1" applyAlignment="1">
      <alignment horizontal="center" vertical="center"/>
    </xf>
    <xf numFmtId="0" fontId="28" fillId="9" borderId="0" xfId="0" applyFont="1" applyFill="1" applyAlignment="1">
      <alignment horizontal="center"/>
    </xf>
    <xf numFmtId="0" fontId="29" fillId="9" borderId="0" xfId="0" applyFont="1" applyFill="1" applyAlignment="1">
      <alignment horizontal="center"/>
    </xf>
    <xf numFmtId="0" fontId="15" fillId="0" borderId="4" xfId="0" quotePrefix="1" applyFont="1" applyBorder="1" applyAlignment="1">
      <alignment horizontal="center" vertical="center"/>
    </xf>
    <xf numFmtId="0" fontId="15" fillId="8" borderId="4" xfId="0" quotePrefix="1" applyFont="1" applyFill="1" applyBorder="1" applyAlignment="1">
      <alignment horizontal="center" vertical="center"/>
    </xf>
    <xf numFmtId="0" fontId="9" fillId="0" borderId="4" xfId="0" quotePrefix="1" applyFont="1" applyBorder="1" applyAlignment="1">
      <alignment vertical="center"/>
    </xf>
    <xf numFmtId="0" fontId="34" fillId="0" borderId="9" xfId="0" applyFont="1" applyBorder="1" applyAlignment="1">
      <alignment horizontal="center" vertical="center"/>
    </xf>
    <xf numFmtId="164" fontId="9" fillId="11" borderId="13" xfId="0" applyNumberFormat="1" applyFont="1" applyFill="1" applyBorder="1" applyAlignment="1">
      <alignment horizontal="center" vertical="center"/>
    </xf>
    <xf numFmtId="164" fontId="9" fillId="11" borderId="14" xfId="0" applyNumberFormat="1" applyFont="1" applyFill="1" applyBorder="1" applyAlignment="1">
      <alignment horizontal="center" vertical="center"/>
    </xf>
    <xf numFmtId="164" fontId="9" fillId="11" borderId="10" xfId="0" applyNumberFormat="1" applyFont="1" applyFill="1" applyBorder="1" applyAlignment="1">
      <alignment horizontal="center" vertical="center"/>
    </xf>
    <xf numFmtId="164" fontId="9" fillId="11" borderId="16" xfId="0" applyNumberFormat="1" applyFont="1" applyFill="1" applyBorder="1" applyAlignment="1">
      <alignment horizontal="center" vertical="center"/>
    </xf>
    <xf numFmtId="164" fontId="9" fillId="11" borderId="5" xfId="0" applyNumberFormat="1" applyFont="1" applyFill="1" applyBorder="1" applyAlignment="1">
      <alignment horizontal="center" vertical="center"/>
    </xf>
    <xf numFmtId="164" fontId="9" fillId="11" borderId="29" xfId="0" applyNumberFormat="1" applyFont="1" applyFill="1" applyBorder="1" applyAlignment="1">
      <alignment horizontal="center" vertical="center"/>
    </xf>
    <xf numFmtId="9" fontId="9" fillId="11" borderId="10" xfId="0" applyNumberFormat="1" applyFont="1" applyFill="1" applyBorder="1" applyAlignment="1">
      <alignment horizontal="center" vertical="center"/>
    </xf>
    <xf numFmtId="9" fontId="9" fillId="11" borderId="16" xfId="0" applyNumberFormat="1" applyFont="1" applyFill="1" applyBorder="1" applyAlignment="1">
      <alignment horizontal="center" vertical="center"/>
    </xf>
    <xf numFmtId="3" fontId="48" fillId="9" borderId="0" xfId="0" applyNumberFormat="1" applyFont="1" applyFill="1" applyAlignment="1">
      <alignment horizontal="right"/>
    </xf>
    <xf numFmtId="164" fontId="29" fillId="7" borderId="38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16" fillId="7" borderId="5" xfId="0" applyNumberFormat="1" applyFont="1" applyFill="1" applyBorder="1" applyAlignment="1">
      <alignment horizontal="center"/>
    </xf>
    <xf numFmtId="3" fontId="24" fillId="7" borderId="5" xfId="0" applyNumberFormat="1" applyFont="1" applyFill="1" applyBorder="1" applyAlignment="1">
      <alignment horizontal="center"/>
    </xf>
    <xf numFmtId="3" fontId="50" fillId="9" borderId="0" xfId="0" applyNumberFormat="1" applyFont="1" applyFill="1" applyAlignment="1">
      <alignment horizontal="right"/>
    </xf>
    <xf numFmtId="2" fontId="49" fillId="13" borderId="34" xfId="0" applyNumberFormat="1" applyFont="1" applyFill="1" applyBorder="1"/>
    <xf numFmtId="2" fontId="52" fillId="13" borderId="0" xfId="0" applyNumberFormat="1" applyFont="1" applyFill="1"/>
    <xf numFmtId="2" fontId="49" fillId="14" borderId="0" xfId="0" applyNumberFormat="1" applyFont="1" applyFill="1"/>
    <xf numFmtId="2" fontId="52" fillId="14" borderId="0" xfId="0" applyNumberFormat="1" applyFont="1" applyFill="1"/>
    <xf numFmtId="2" fontId="49" fillId="15" borderId="0" xfId="0" applyNumberFormat="1" applyFont="1" applyFill="1"/>
    <xf numFmtId="2" fontId="52" fillId="15" borderId="0" xfId="0" applyNumberFormat="1" applyFont="1" applyFill="1"/>
    <xf numFmtId="2" fontId="1" fillId="16" borderId="0" xfId="0" applyNumberFormat="1" applyFont="1" applyFill="1"/>
    <xf numFmtId="2" fontId="6" fillId="16" borderId="35" xfId="0" applyNumberFormat="1" applyFont="1" applyFill="1" applyBorder="1"/>
    <xf numFmtId="165" fontId="15" fillId="8" borderId="11" xfId="0" quotePrefix="1" applyNumberFormat="1" applyFont="1" applyFill="1" applyBorder="1" applyAlignment="1">
      <alignment horizontal="left" vertical="center"/>
    </xf>
    <xf numFmtId="0" fontId="34" fillId="8" borderId="56" xfId="0" applyFont="1" applyFill="1" applyBorder="1" applyAlignment="1">
      <alignment horizontal="center" vertical="center"/>
    </xf>
    <xf numFmtId="3" fontId="10" fillId="11" borderId="57" xfId="0" applyNumberFormat="1" applyFont="1" applyFill="1" applyBorder="1" applyAlignment="1">
      <alignment horizontal="center" vertical="center"/>
    </xf>
    <xf numFmtId="3" fontId="51" fillId="9" borderId="0" xfId="0" applyNumberFormat="1" applyFont="1" applyFill="1" applyAlignment="1">
      <alignment horizontal="right"/>
    </xf>
    <xf numFmtId="164" fontId="29" fillId="7" borderId="39" xfId="0" applyNumberFormat="1" applyFont="1" applyFill="1" applyBorder="1" applyAlignment="1">
      <alignment vertical="center"/>
    </xf>
    <xf numFmtId="0" fontId="24" fillId="7" borderId="0" xfId="0" applyFont="1" applyFill="1" applyAlignment="1">
      <alignment horizontal="center" vertical="center"/>
    </xf>
    <xf numFmtId="0" fontId="45" fillId="9" borderId="0" xfId="1" applyFont="1" applyFill="1" applyAlignment="1">
      <alignment horizontal="center"/>
    </xf>
    <xf numFmtId="0" fontId="22" fillId="2" borderId="46" xfId="0" applyFont="1" applyFill="1" applyBorder="1" applyAlignment="1">
      <alignment horizontal="center" vertical="center"/>
    </xf>
    <xf numFmtId="0" fontId="15" fillId="9" borderId="58" xfId="0" applyFont="1" applyFill="1" applyBorder="1"/>
    <xf numFmtId="0" fontId="10" fillId="9" borderId="32" xfId="0" applyFont="1" applyFill="1" applyBorder="1"/>
    <xf numFmtId="0" fontId="23" fillId="9" borderId="0" xfId="0" applyFont="1" applyFill="1" applyAlignment="1">
      <alignment vertical="center" wrapText="1"/>
    </xf>
    <xf numFmtId="0" fontId="17" fillId="9" borderId="0" xfId="0" applyFont="1" applyFill="1" applyAlignment="1">
      <alignment vertical="center" wrapText="1"/>
    </xf>
    <xf numFmtId="0" fontId="26" fillId="9" borderId="0" xfId="0" applyFont="1" applyFill="1" applyAlignment="1">
      <alignment wrapText="1"/>
    </xf>
    <xf numFmtId="0" fontId="26" fillId="9" borderId="0" xfId="0" applyFont="1" applyFill="1" applyAlignment="1">
      <alignment horizontal="center" wrapText="1"/>
    </xf>
    <xf numFmtId="0" fontId="45" fillId="9" borderId="0" xfId="1" applyFont="1" applyFill="1" applyAlignment="1"/>
    <xf numFmtId="0" fontId="42" fillId="9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26" fillId="9" borderId="0" xfId="0" applyFont="1" applyFill="1"/>
    <xf numFmtId="4" fontId="56" fillId="9" borderId="38" xfId="0" applyNumberFormat="1" applyFont="1" applyFill="1" applyBorder="1" applyAlignment="1">
      <alignment vertical="center" wrapText="1"/>
    </xf>
    <xf numFmtId="0" fontId="57" fillId="9" borderId="0" xfId="0" applyFont="1" applyFill="1" applyAlignment="1">
      <alignment horizontal="center"/>
    </xf>
    <xf numFmtId="0" fontId="42" fillId="9" borderId="0" xfId="0" applyFont="1" applyFill="1" applyAlignment="1">
      <alignment horizontal="center" vertical="center" wrapText="1"/>
    </xf>
    <xf numFmtId="0" fontId="42" fillId="9" borderId="0" xfId="0" applyFont="1" applyFill="1" applyAlignment="1">
      <alignment vertical="center" wrapText="1"/>
    </xf>
    <xf numFmtId="4" fontId="55" fillId="9" borderId="0" xfId="0" applyNumberFormat="1" applyFont="1" applyFill="1" applyAlignment="1">
      <alignment horizontal="center" vertical="center" wrapText="1"/>
    </xf>
    <xf numFmtId="4" fontId="55" fillId="9" borderId="34" xfId="0" applyNumberFormat="1" applyFont="1" applyFill="1" applyBorder="1" applyAlignment="1">
      <alignment horizontal="center" vertical="center" wrapText="1"/>
    </xf>
    <xf numFmtId="171" fontId="24" fillId="7" borderId="28" xfId="0" applyNumberFormat="1" applyFont="1" applyFill="1" applyBorder="1" applyAlignment="1">
      <alignment horizontal="center" vertical="center"/>
    </xf>
    <xf numFmtId="14" fontId="24" fillId="7" borderId="7" xfId="0" applyNumberFormat="1" applyFont="1" applyFill="1" applyBorder="1" applyAlignment="1">
      <alignment horizontal="center" vertical="center"/>
    </xf>
    <xf numFmtId="3" fontId="24" fillId="7" borderId="11" xfId="0" quotePrefix="1" applyNumberFormat="1" applyFont="1" applyFill="1" applyBorder="1" applyAlignment="1">
      <alignment horizontal="center" vertical="center"/>
    </xf>
    <xf numFmtId="3" fontId="24" fillId="7" borderId="7" xfId="0" applyNumberFormat="1" applyFont="1" applyFill="1" applyBorder="1" applyAlignment="1">
      <alignment horizontal="center" vertical="center"/>
    </xf>
    <xf numFmtId="3" fontId="11" fillId="10" borderId="5" xfId="0" applyNumberFormat="1" applyFont="1" applyFill="1" applyBorder="1" applyAlignment="1">
      <alignment horizontal="center" vertical="center"/>
    </xf>
    <xf numFmtId="3" fontId="11" fillId="10" borderId="29" xfId="0" applyNumberFormat="1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6" fillId="7" borderId="0" xfId="0" applyFont="1" applyFill="1" applyAlignment="1">
      <alignment horizontal="left"/>
    </xf>
    <xf numFmtId="0" fontId="26" fillId="7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0" fontId="15" fillId="7" borderId="0" xfId="0" applyFont="1" applyFill="1" applyAlignment="1">
      <alignment horizontal="left"/>
    </xf>
    <xf numFmtId="3" fontId="28" fillId="9" borderId="0" xfId="0" applyNumberFormat="1" applyFont="1" applyFill="1" applyAlignment="1">
      <alignment horizontal="center"/>
    </xf>
    <xf numFmtId="164" fontId="58" fillId="7" borderId="5" xfId="0" applyNumberFormat="1" applyFont="1" applyFill="1" applyBorder="1" applyAlignment="1">
      <alignment vertical="center"/>
    </xf>
    <xf numFmtId="3" fontId="58" fillId="7" borderId="5" xfId="0" applyNumberFormat="1" applyFont="1" applyFill="1" applyBorder="1" applyAlignment="1">
      <alignment vertical="center"/>
    </xf>
    <xf numFmtId="0" fontId="22" fillId="9" borderId="0" xfId="0" applyFont="1" applyFill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4" fontId="28" fillId="7" borderId="6" xfId="0" applyNumberFormat="1" applyFont="1" applyFill="1" applyBorder="1" applyAlignment="1">
      <alignment vertical="center"/>
    </xf>
    <xf numFmtId="0" fontId="26" fillId="9" borderId="49" xfId="0" applyFont="1" applyFill="1" applyBorder="1" applyAlignment="1">
      <alignment wrapText="1"/>
    </xf>
    <xf numFmtId="0" fontId="22" fillId="10" borderId="46" xfId="0" applyFont="1" applyFill="1" applyBorder="1" applyAlignment="1">
      <alignment horizontal="center" vertical="top" wrapText="1"/>
    </xf>
    <xf numFmtId="0" fontId="22" fillId="10" borderId="45" xfId="0" applyFont="1" applyFill="1" applyBorder="1" applyAlignment="1">
      <alignment horizontal="center" vertical="top" wrapText="1"/>
    </xf>
    <xf numFmtId="0" fontId="28" fillId="7" borderId="0" xfId="0" applyFont="1" applyFill="1" applyAlignment="1">
      <alignment horizontal="center"/>
    </xf>
    <xf numFmtId="3" fontId="16" fillId="7" borderId="0" xfId="0" applyNumberFormat="1" applyFont="1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165" fontId="9" fillId="0" borderId="7" xfId="0" quotePrefix="1" applyNumberFormat="1" applyFont="1" applyBorder="1" applyAlignment="1">
      <alignment horizontal="right" vertical="center"/>
    </xf>
    <xf numFmtId="165" fontId="9" fillId="0" borderId="7" xfId="0" quotePrefix="1" applyNumberFormat="1" applyFont="1" applyBorder="1" applyAlignment="1">
      <alignment horizontal="left" vertical="center"/>
    </xf>
    <xf numFmtId="0" fontId="16" fillId="9" borderId="0" xfId="0" applyFont="1" applyFill="1" applyAlignment="1">
      <alignment horizontal="center"/>
    </xf>
    <xf numFmtId="0" fontId="24" fillId="9" borderId="43" xfId="0" applyFont="1" applyFill="1" applyBorder="1" applyAlignment="1">
      <alignment horizontal="center"/>
    </xf>
    <xf numFmtId="0" fontId="16" fillId="9" borderId="0" xfId="0" applyFont="1" applyFill="1" applyAlignment="1">
      <alignment horizontal="center" vertical="center" wrapText="1"/>
    </xf>
    <xf numFmtId="0" fontId="24" fillId="9" borderId="43" xfId="0" applyFont="1" applyFill="1" applyBorder="1" applyAlignment="1">
      <alignment horizontal="center" vertical="center" wrapText="1"/>
    </xf>
    <xf numFmtId="164" fontId="24" fillId="9" borderId="60" xfId="0" applyNumberFormat="1" applyFont="1" applyFill="1" applyBorder="1" applyAlignment="1">
      <alignment horizontal="right"/>
    </xf>
    <xf numFmtId="164" fontId="28" fillId="9" borderId="0" xfId="0" applyNumberFormat="1" applyFont="1" applyFill="1"/>
    <xf numFmtId="164" fontId="28" fillId="9" borderId="43" xfId="0" applyNumberFormat="1" applyFont="1" applyFill="1" applyBorder="1"/>
    <xf numFmtId="164" fontId="24" fillId="9" borderId="43" xfId="0" applyNumberFormat="1" applyFont="1" applyFill="1" applyBorder="1" applyAlignment="1">
      <alignment horizontal="right"/>
    </xf>
    <xf numFmtId="164" fontId="44" fillId="9" borderId="60" xfId="0" applyNumberFormat="1" applyFont="1" applyFill="1" applyBorder="1" applyAlignment="1">
      <alignment horizontal="right"/>
    </xf>
    <xf numFmtId="3" fontId="24" fillId="9" borderId="60" xfId="0" applyNumberFormat="1" applyFont="1" applyFill="1" applyBorder="1" applyAlignment="1">
      <alignment horizontal="right"/>
    </xf>
    <xf numFmtId="0" fontId="28" fillId="9" borderId="43" xfId="0" applyFont="1" applyFill="1" applyBorder="1"/>
    <xf numFmtId="3" fontId="24" fillId="9" borderId="0" xfId="0" applyNumberFormat="1" applyFont="1" applyFill="1"/>
    <xf numFmtId="3" fontId="24" fillId="9" borderId="43" xfId="0" applyNumberFormat="1" applyFont="1" applyFill="1" applyBorder="1"/>
    <xf numFmtId="3" fontId="16" fillId="9" borderId="49" xfId="0" applyNumberFormat="1" applyFont="1" applyFill="1" applyBorder="1" applyAlignment="1">
      <alignment horizontal="right"/>
    </xf>
    <xf numFmtId="3" fontId="24" fillId="9" borderId="50" xfId="0" applyNumberFormat="1" applyFont="1" applyFill="1" applyBorder="1" applyAlignment="1">
      <alignment horizontal="right"/>
    </xf>
    <xf numFmtId="0" fontId="16" fillId="9" borderId="60" xfId="0" applyFont="1" applyFill="1" applyBorder="1" applyAlignment="1">
      <alignment horizontal="center"/>
    </xf>
    <xf numFmtId="0" fontId="16" fillId="9" borderId="60" xfId="0" applyFont="1" applyFill="1" applyBorder="1" applyAlignment="1">
      <alignment horizontal="center" vertical="center" wrapText="1"/>
    </xf>
    <xf numFmtId="164" fontId="28" fillId="9" borderId="60" xfId="0" applyNumberFormat="1" applyFont="1" applyFill="1" applyBorder="1" applyAlignment="1">
      <alignment horizontal="right"/>
    </xf>
    <xf numFmtId="164" fontId="28" fillId="9" borderId="43" xfId="0" applyNumberFormat="1" applyFont="1" applyFill="1" applyBorder="1" applyAlignment="1">
      <alignment horizontal="right"/>
    </xf>
    <xf numFmtId="164" fontId="16" fillId="9" borderId="60" xfId="0" applyNumberFormat="1" applyFont="1" applyFill="1" applyBorder="1" applyAlignment="1">
      <alignment horizontal="right"/>
    </xf>
    <xf numFmtId="164" fontId="37" fillId="9" borderId="60" xfId="0" applyNumberFormat="1" applyFont="1" applyFill="1" applyBorder="1"/>
    <xf numFmtId="164" fontId="41" fillId="9" borderId="43" xfId="0" applyNumberFormat="1" applyFont="1" applyFill="1" applyBorder="1"/>
    <xf numFmtId="3" fontId="24" fillId="9" borderId="43" xfId="0" applyNumberFormat="1" applyFont="1" applyFill="1" applyBorder="1" applyAlignment="1">
      <alignment horizontal="right"/>
    </xf>
    <xf numFmtId="3" fontId="16" fillId="9" borderId="67" xfId="0" applyNumberFormat="1" applyFont="1" applyFill="1" applyBorder="1" applyAlignment="1">
      <alignment horizontal="right"/>
    </xf>
    <xf numFmtId="164" fontId="28" fillId="9" borderId="60" xfId="0" applyNumberFormat="1" applyFont="1" applyFill="1" applyBorder="1"/>
    <xf numFmtId="164" fontId="50" fillId="9" borderId="60" xfId="0" applyNumberFormat="1" applyFont="1" applyFill="1" applyBorder="1"/>
    <xf numFmtId="164" fontId="51" fillId="9" borderId="43" xfId="0" applyNumberFormat="1" applyFont="1" applyFill="1" applyBorder="1"/>
    <xf numFmtId="3" fontId="29" fillId="7" borderId="32" xfId="0" applyNumberFormat="1" applyFont="1" applyFill="1" applyBorder="1" applyAlignment="1">
      <alignment horizontal="left"/>
    </xf>
    <xf numFmtId="165" fontId="29" fillId="7" borderId="38" xfId="0" applyNumberFormat="1" applyFont="1" applyFill="1" applyBorder="1"/>
    <xf numFmtId="3" fontId="29" fillId="7" borderId="38" xfId="0" applyNumberFormat="1" applyFont="1" applyFill="1" applyBorder="1"/>
    <xf numFmtId="0" fontId="29" fillId="7" borderId="38" xfId="0" applyFont="1" applyFill="1" applyBorder="1"/>
    <xf numFmtId="3" fontId="29" fillId="7" borderId="33" xfId="0" applyNumberFormat="1" applyFont="1" applyFill="1" applyBorder="1"/>
    <xf numFmtId="3" fontId="29" fillId="7" borderId="36" xfId="0" applyNumberFormat="1" applyFont="1" applyFill="1" applyBorder="1" applyAlignment="1">
      <alignment horizontal="left"/>
    </xf>
    <xf numFmtId="165" fontId="29" fillId="7" borderId="39" xfId="0" applyNumberFormat="1" applyFont="1" applyFill="1" applyBorder="1"/>
    <xf numFmtId="3" fontId="29" fillId="7" borderId="39" xfId="0" applyNumberFormat="1" applyFont="1" applyFill="1" applyBorder="1"/>
    <xf numFmtId="0" fontId="29" fillId="7" borderId="39" xfId="0" applyFont="1" applyFill="1" applyBorder="1"/>
    <xf numFmtId="3" fontId="29" fillId="7" borderId="37" xfId="0" applyNumberFormat="1" applyFont="1" applyFill="1" applyBorder="1"/>
    <xf numFmtId="165" fontId="29" fillId="7" borderId="0" xfId="0" applyNumberFormat="1" applyFont="1" applyFill="1"/>
    <xf numFmtId="3" fontId="29" fillId="7" borderId="0" xfId="0" applyNumberFormat="1" applyFont="1" applyFill="1"/>
    <xf numFmtId="3" fontId="29" fillId="7" borderId="34" xfId="0" applyNumberFormat="1" applyFont="1" applyFill="1" applyBorder="1" applyAlignment="1">
      <alignment horizontal="left"/>
    </xf>
    <xf numFmtId="3" fontId="29" fillId="7" borderId="35" xfId="0" applyNumberFormat="1" applyFont="1" applyFill="1" applyBorder="1"/>
    <xf numFmtId="165" fontId="15" fillId="0" borderId="7" xfId="0" applyNumberFormat="1" applyFont="1" applyBorder="1" applyAlignment="1">
      <alignment horizontal="left" vertical="center"/>
    </xf>
    <xf numFmtId="0" fontId="24" fillId="7" borderId="0" xfId="0" applyFont="1" applyFill="1" applyAlignment="1">
      <alignment vertical="center"/>
    </xf>
    <xf numFmtId="164" fontId="24" fillId="7" borderId="0" xfId="0" applyNumberFormat="1" applyFont="1" applyFill="1" applyAlignment="1">
      <alignment horizontal="left" vertical="center"/>
    </xf>
    <xf numFmtId="164" fontId="24" fillId="7" borderId="0" xfId="0" applyNumberFormat="1" applyFont="1" applyFill="1" applyAlignment="1">
      <alignment horizontal="center" vertical="center"/>
    </xf>
    <xf numFmtId="0" fontId="24" fillId="7" borderId="0" xfId="0" applyFont="1" applyFill="1" applyAlignment="1">
      <alignment horizontal="center"/>
    </xf>
    <xf numFmtId="168" fontId="28" fillId="7" borderId="0" xfId="0" applyNumberFormat="1" applyFont="1" applyFill="1" applyAlignment="1">
      <alignment vertical="center"/>
    </xf>
    <xf numFmtId="164" fontId="28" fillId="7" borderId="60" xfId="0" applyNumberFormat="1" applyFont="1" applyFill="1" applyBorder="1" applyAlignment="1">
      <alignment horizontal="right"/>
    </xf>
    <xf numFmtId="164" fontId="28" fillId="7" borderId="60" xfId="0" applyNumberFormat="1" applyFont="1" applyFill="1" applyBorder="1"/>
    <xf numFmtId="164" fontId="50" fillId="7" borderId="60" xfId="0" applyNumberFormat="1" applyFont="1" applyFill="1" applyBorder="1"/>
    <xf numFmtId="3" fontId="24" fillId="7" borderId="60" xfId="0" applyNumberFormat="1" applyFont="1" applyFill="1" applyBorder="1" applyAlignment="1">
      <alignment horizontal="right"/>
    </xf>
    <xf numFmtId="3" fontId="22" fillId="7" borderId="60" xfId="0" applyNumberFormat="1" applyFont="1" applyFill="1" applyBorder="1" applyAlignment="1">
      <alignment horizontal="right"/>
    </xf>
    <xf numFmtId="3" fontId="50" fillId="7" borderId="0" xfId="0" applyNumberFormat="1" applyFont="1" applyFill="1" applyAlignment="1">
      <alignment horizontal="right"/>
    </xf>
    <xf numFmtId="3" fontId="51" fillId="7" borderId="0" xfId="0" applyNumberFormat="1" applyFont="1" applyFill="1" applyAlignment="1">
      <alignment horizontal="right"/>
    </xf>
    <xf numFmtId="165" fontId="16" fillId="7" borderId="0" xfId="0" applyNumberFormat="1" applyFont="1" applyFill="1" applyAlignment="1">
      <alignment horizontal="right"/>
    </xf>
    <xf numFmtId="165" fontId="15" fillId="7" borderId="0" xfId="0" applyNumberFormat="1" applyFont="1" applyFill="1" applyAlignment="1">
      <alignment horizontal="right"/>
    </xf>
    <xf numFmtId="0" fontId="35" fillId="9" borderId="9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vertical="center"/>
    </xf>
    <xf numFmtId="0" fontId="28" fillId="9" borderId="54" xfId="0" quotePrefix="1" applyFont="1" applyFill="1" applyBorder="1" applyAlignment="1">
      <alignment horizontal="center" vertical="center"/>
    </xf>
    <xf numFmtId="0" fontId="28" fillId="9" borderId="53" xfId="0" applyFont="1" applyFill="1" applyBorder="1" applyAlignment="1">
      <alignment horizontal="left" vertical="center"/>
    </xf>
    <xf numFmtId="165" fontId="28" fillId="9" borderId="55" xfId="0" quotePrefix="1" applyNumberFormat="1" applyFont="1" applyFill="1" applyBorder="1" applyAlignment="1">
      <alignment horizontal="right" vertical="center"/>
    </xf>
    <xf numFmtId="165" fontId="28" fillId="9" borderId="55" xfId="0" applyNumberFormat="1" applyFont="1" applyFill="1" applyBorder="1" applyAlignment="1">
      <alignment horizontal="left" vertical="center"/>
    </xf>
    <xf numFmtId="164" fontId="28" fillId="9" borderId="0" xfId="0" applyNumberFormat="1" applyFont="1" applyFill="1" applyAlignment="1">
      <alignment horizontal="right"/>
    </xf>
    <xf numFmtId="164" fontId="51" fillId="9" borderId="0" xfId="0" applyNumberFormat="1" applyFont="1" applyFill="1"/>
    <xf numFmtId="0" fontId="37" fillId="9" borderId="60" xfId="0" applyFont="1" applyFill="1" applyBorder="1" applyAlignment="1">
      <alignment horizontal="center" vertical="center"/>
    </xf>
    <xf numFmtId="164" fontId="37" fillId="9" borderId="60" xfId="0" applyNumberFormat="1" applyFont="1" applyFill="1" applyBorder="1" applyAlignment="1">
      <alignment horizontal="right" vertical="center"/>
    </xf>
    <xf numFmtId="3" fontId="37" fillId="9" borderId="67" xfId="0" applyNumberFormat="1" applyFont="1" applyFill="1" applyBorder="1" applyAlignment="1">
      <alignment horizontal="right" vertical="center"/>
    </xf>
    <xf numFmtId="3" fontId="66" fillId="9" borderId="49" xfId="0" applyNumberFormat="1" applyFont="1" applyFill="1" applyBorder="1" applyAlignment="1">
      <alignment horizontal="right" vertical="center"/>
    </xf>
    <xf numFmtId="3" fontId="44" fillId="9" borderId="49" xfId="0" applyNumberFormat="1" applyFont="1" applyFill="1" applyBorder="1" applyAlignment="1">
      <alignment horizontal="right" vertical="center"/>
    </xf>
    <xf numFmtId="0" fontId="68" fillId="9" borderId="0" xfId="1" applyFont="1" applyFill="1" applyBorder="1" applyAlignment="1">
      <alignment vertical="center" wrapText="1"/>
    </xf>
    <xf numFmtId="0" fontId="22" fillId="7" borderId="60" xfId="0" applyFont="1" applyFill="1" applyBorder="1" applyAlignment="1">
      <alignment horizontal="center"/>
    </xf>
    <xf numFmtId="0" fontId="22" fillId="7" borderId="60" xfId="0" applyFont="1" applyFill="1" applyBorder="1" applyAlignment="1">
      <alignment horizontal="center" vertical="center" wrapText="1"/>
    </xf>
    <xf numFmtId="164" fontId="22" fillId="7" borderId="60" xfId="0" applyNumberFormat="1" applyFont="1" applyFill="1" applyBorder="1"/>
    <xf numFmtId="0" fontId="64" fillId="7" borderId="60" xfId="0" applyFont="1" applyFill="1" applyBorder="1"/>
    <xf numFmtId="3" fontId="24" fillId="7" borderId="0" xfId="0" applyNumberFormat="1" applyFont="1" applyFill="1"/>
    <xf numFmtId="164" fontId="24" fillId="7" borderId="0" xfId="0" applyNumberFormat="1" applyFont="1" applyFill="1" applyAlignment="1">
      <alignment vertical="center"/>
    </xf>
    <xf numFmtId="3" fontId="28" fillId="7" borderId="39" xfId="0" applyNumberFormat="1" applyFont="1" applyFill="1" applyBorder="1" applyAlignment="1">
      <alignment vertical="center"/>
    </xf>
    <xf numFmtId="164" fontId="28" fillId="7" borderId="39" xfId="0" applyNumberFormat="1" applyFont="1" applyFill="1" applyBorder="1" applyAlignment="1">
      <alignment vertical="center"/>
    </xf>
    <xf numFmtId="165" fontId="28" fillId="7" borderId="39" xfId="0" applyNumberFormat="1" applyFont="1" applyFill="1" applyBorder="1"/>
    <xf numFmtId="3" fontId="28" fillId="7" borderId="39" xfId="0" applyNumberFormat="1" applyFont="1" applyFill="1" applyBorder="1"/>
    <xf numFmtId="0" fontId="28" fillId="7" borderId="39" xfId="0" applyFont="1" applyFill="1" applyBorder="1"/>
    <xf numFmtId="3" fontId="28" fillId="7" borderId="0" xfId="0" applyNumberFormat="1" applyFont="1" applyFill="1" applyAlignment="1">
      <alignment horizontal="right" vertical="center"/>
    </xf>
    <xf numFmtId="165" fontId="28" fillId="7" borderId="0" xfId="0" applyNumberFormat="1" applyFont="1" applyFill="1"/>
    <xf numFmtId="3" fontId="28" fillId="7" borderId="0" xfId="0" applyNumberFormat="1" applyFont="1" applyFill="1"/>
    <xf numFmtId="0" fontId="22" fillId="10" borderId="3" xfId="0" applyFont="1" applyFill="1" applyBorder="1" applyAlignment="1">
      <alignment horizontal="center" vertical="center" wrapText="1"/>
    </xf>
    <xf numFmtId="0" fontId="55" fillId="10" borderId="4" xfId="0" applyFont="1" applyFill="1" applyBorder="1" applyAlignment="1">
      <alignment horizontal="center" vertical="center"/>
    </xf>
    <xf numFmtId="0" fontId="55" fillId="10" borderId="4" xfId="0" applyFont="1" applyFill="1" applyBorder="1" applyAlignment="1">
      <alignment horizontal="center" vertical="center" wrapText="1"/>
    </xf>
    <xf numFmtId="0" fontId="55" fillId="10" borderId="5" xfId="0" applyFont="1" applyFill="1" applyBorder="1" applyAlignment="1">
      <alignment horizontal="center" vertical="center"/>
    </xf>
    <xf numFmtId="164" fontId="55" fillId="10" borderId="4" xfId="0" quotePrefix="1" applyNumberFormat="1" applyFont="1" applyFill="1" applyBorder="1" applyAlignment="1">
      <alignment horizontal="center" vertical="center"/>
    </xf>
    <xf numFmtId="164" fontId="55" fillId="10" borderId="4" xfId="0" applyNumberFormat="1" applyFont="1" applyFill="1" applyBorder="1" applyAlignment="1">
      <alignment horizontal="center" vertical="center"/>
    </xf>
    <xf numFmtId="164" fontId="55" fillId="10" borderId="5" xfId="0" applyNumberFormat="1" applyFont="1" applyFill="1" applyBorder="1" applyAlignment="1">
      <alignment horizontal="center" vertical="center"/>
    </xf>
    <xf numFmtId="164" fontId="55" fillId="10" borderId="6" xfId="0" applyNumberFormat="1" applyFont="1" applyFill="1" applyBorder="1" applyAlignment="1">
      <alignment horizontal="center" vertical="center"/>
    </xf>
    <xf numFmtId="165" fontId="22" fillId="10" borderId="7" xfId="0" applyNumberFormat="1" applyFont="1" applyFill="1" applyBorder="1" applyAlignment="1">
      <alignment horizontal="center" vertical="center" wrapText="1"/>
    </xf>
    <xf numFmtId="3" fontId="24" fillId="7" borderId="0" xfId="0" applyNumberFormat="1" applyFont="1" applyFill="1" applyAlignment="1">
      <alignment horizontal="center" vertical="center"/>
    </xf>
    <xf numFmtId="3" fontId="73" fillId="9" borderId="49" xfId="0" applyNumberFormat="1" applyFont="1" applyFill="1" applyBorder="1" applyAlignment="1">
      <alignment horizontal="right" vertical="center"/>
    </xf>
    <xf numFmtId="0" fontId="49" fillId="19" borderId="68" xfId="0" applyFont="1" applyFill="1" applyBorder="1"/>
    <xf numFmtId="0" fontId="0" fillId="0" borderId="0" xfId="0" applyAlignment="1">
      <alignment horizontal="center"/>
    </xf>
    <xf numFmtId="2" fontId="52" fillId="13" borderId="0" xfId="0" applyNumberFormat="1" applyFont="1" applyFill="1" applyAlignment="1">
      <alignment horizontal="center"/>
    </xf>
    <xf numFmtId="2" fontId="49" fillId="13" borderId="0" xfId="0" applyNumberFormat="1" applyFont="1" applyFill="1" applyAlignment="1">
      <alignment horizontal="center"/>
    </xf>
    <xf numFmtId="2" fontId="49" fillId="14" borderId="0" xfId="0" applyNumberFormat="1" applyFont="1" applyFill="1" applyAlignment="1">
      <alignment horizontal="center"/>
    </xf>
    <xf numFmtId="2" fontId="52" fillId="14" borderId="0" xfId="0" applyNumberFormat="1" applyFont="1" applyFill="1" applyAlignment="1">
      <alignment horizontal="center"/>
    </xf>
    <xf numFmtId="2" fontId="49" fillId="15" borderId="0" xfId="0" applyNumberFormat="1" applyFont="1" applyFill="1" applyAlignment="1">
      <alignment horizontal="center"/>
    </xf>
    <xf numFmtId="2" fontId="52" fillId="15" borderId="0" xfId="0" applyNumberFormat="1" applyFont="1" applyFill="1" applyAlignment="1">
      <alignment horizontal="center"/>
    </xf>
    <xf numFmtId="2" fontId="1" fillId="16" borderId="0" xfId="0" applyNumberFormat="1" applyFont="1" applyFill="1" applyAlignment="1">
      <alignment horizontal="center"/>
    </xf>
    <xf numFmtId="2" fontId="6" fillId="16" borderId="35" xfId="0" applyNumberFormat="1" applyFont="1" applyFill="1" applyBorder="1" applyAlignment="1">
      <alignment horizontal="center"/>
    </xf>
    <xf numFmtId="2" fontId="52" fillId="13" borderId="35" xfId="0" applyNumberFormat="1" applyFont="1" applyFill="1" applyBorder="1" applyAlignment="1">
      <alignment horizontal="center"/>
    </xf>
    <xf numFmtId="2" fontId="52" fillId="14" borderId="35" xfId="0" applyNumberFormat="1" applyFont="1" applyFill="1" applyBorder="1" applyAlignment="1">
      <alignment horizontal="center"/>
    </xf>
    <xf numFmtId="2" fontId="49" fillId="17" borderId="0" xfId="0" applyNumberFormat="1" applyFont="1" applyFill="1" applyAlignment="1">
      <alignment horizontal="center"/>
    </xf>
    <xf numFmtId="2" fontId="52" fillId="17" borderId="35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49" fillId="14" borderId="5" xfId="0" applyNumberFormat="1" applyFont="1" applyFill="1" applyBorder="1" applyAlignment="1">
      <alignment horizontal="center"/>
    </xf>
    <xf numFmtId="2" fontId="74" fillId="14" borderId="5" xfId="0" applyNumberFormat="1" applyFont="1" applyFill="1" applyBorder="1" applyAlignment="1">
      <alignment horizontal="center"/>
    </xf>
    <xf numFmtId="2" fontId="0" fillId="0" borderId="0" xfId="0" applyNumberFormat="1"/>
    <xf numFmtId="2" fontId="49" fillId="14" borderId="2" xfId="0" applyNumberFormat="1" applyFont="1" applyFill="1" applyBorder="1" applyAlignment="1">
      <alignment horizontal="center"/>
    </xf>
    <xf numFmtId="2" fontId="74" fillId="14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6" fillId="9" borderId="0" xfId="1" applyFont="1" applyFill="1" applyBorder="1" applyAlignment="1">
      <alignment horizontal="center" vertical="center" wrapText="1"/>
    </xf>
    <xf numFmtId="0" fontId="22" fillId="9" borderId="0" xfId="0" applyFont="1" applyFill="1"/>
    <xf numFmtId="164" fontId="26" fillId="9" borderId="25" xfId="0" applyNumberFormat="1" applyFont="1" applyFill="1" applyBorder="1" applyAlignment="1">
      <alignment vertical="center"/>
    </xf>
    <xf numFmtId="164" fontId="26" fillId="9" borderId="25" xfId="0" applyNumberFormat="1" applyFont="1" applyFill="1" applyBorder="1" applyAlignment="1">
      <alignment horizontal="center" vertical="center"/>
    </xf>
    <xf numFmtId="164" fontId="15" fillId="9" borderId="25" xfId="0" applyNumberFormat="1" applyFont="1" applyFill="1" applyBorder="1" applyAlignment="1">
      <alignment horizontal="center" vertical="center"/>
    </xf>
    <xf numFmtId="165" fontId="77" fillId="0" borderId="7" xfId="0" quotePrefix="1" applyNumberFormat="1" applyFont="1" applyBorder="1" applyAlignment="1">
      <alignment horizontal="right" vertical="center"/>
    </xf>
    <xf numFmtId="165" fontId="78" fillId="0" borderId="7" xfId="0" quotePrefix="1" applyNumberFormat="1" applyFont="1" applyBorder="1" applyAlignment="1">
      <alignment horizontal="right" vertical="center"/>
    </xf>
    <xf numFmtId="165" fontId="77" fillId="9" borderId="55" xfId="0" quotePrefix="1" applyNumberFormat="1" applyFont="1" applyFill="1" applyBorder="1" applyAlignment="1">
      <alignment horizontal="right" vertical="center"/>
    </xf>
    <xf numFmtId="165" fontId="77" fillId="8" borderId="7" xfId="0" quotePrefix="1" applyNumberFormat="1" applyFont="1" applyFill="1" applyBorder="1" applyAlignment="1">
      <alignment horizontal="right" vertical="center"/>
    </xf>
    <xf numFmtId="165" fontId="79" fillId="11" borderId="26" xfId="0" applyNumberFormat="1" applyFont="1" applyFill="1" applyBorder="1" applyAlignment="1">
      <alignment horizontal="right" vertical="center"/>
    </xf>
    <xf numFmtId="165" fontId="27" fillId="10" borderId="7" xfId="0" applyNumberFormat="1" applyFont="1" applyFill="1" applyBorder="1" applyAlignment="1">
      <alignment horizontal="center" vertical="center" wrapText="1"/>
    </xf>
    <xf numFmtId="164" fontId="77" fillId="9" borderId="5" xfId="0" applyNumberFormat="1" applyFont="1" applyFill="1" applyBorder="1" applyAlignment="1">
      <alignment horizontal="center" vertical="center"/>
    </xf>
    <xf numFmtId="164" fontId="77" fillId="9" borderId="29" xfId="0" applyNumberFormat="1" applyFont="1" applyFill="1" applyBorder="1" applyAlignment="1">
      <alignment horizontal="center" vertical="center"/>
    </xf>
    <xf numFmtId="164" fontId="77" fillId="9" borderId="10" xfId="0" applyNumberFormat="1" applyFont="1" applyFill="1" applyBorder="1" applyAlignment="1">
      <alignment horizontal="center" vertical="center"/>
    </xf>
    <xf numFmtId="0" fontId="81" fillId="0" borderId="5" xfId="0" applyFont="1" applyBorder="1" applyAlignment="1">
      <alignment horizontal="center" vertical="center"/>
    </xf>
    <xf numFmtId="0" fontId="82" fillId="0" borderId="4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81" fillId="9" borderId="53" xfId="0" applyFont="1" applyFill="1" applyBorder="1" applyAlignment="1">
      <alignment horizontal="center" vertical="center"/>
    </xf>
    <xf numFmtId="0" fontId="83" fillId="9" borderId="53" xfId="0" applyFont="1" applyFill="1" applyBorder="1" applyAlignment="1">
      <alignment horizontal="center" vertical="center"/>
    </xf>
    <xf numFmtId="0" fontId="84" fillId="9" borderId="54" xfId="0" applyFont="1" applyFill="1" applyBorder="1" applyAlignment="1">
      <alignment horizontal="center" vertical="center"/>
    </xf>
    <xf numFmtId="0" fontId="81" fillId="8" borderId="5" xfId="0" applyFont="1" applyFill="1" applyBorder="1" applyAlignment="1">
      <alignment horizontal="center" vertical="center"/>
    </xf>
    <xf numFmtId="0" fontId="64" fillId="10" borderId="2" xfId="0" applyFont="1" applyFill="1" applyBorder="1" applyAlignment="1">
      <alignment horizontal="center" vertical="center" wrapText="1"/>
    </xf>
    <xf numFmtId="0" fontId="64" fillId="10" borderId="4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3" fontId="22" fillId="7" borderId="24" xfId="0" applyNumberFormat="1" applyFont="1" applyFill="1" applyBorder="1" applyAlignment="1">
      <alignment vertical="center"/>
    </xf>
    <xf numFmtId="167" fontId="1" fillId="20" borderId="44" xfId="0" applyNumberFormat="1" applyFont="1" applyFill="1" applyBorder="1"/>
    <xf numFmtId="167" fontId="1" fillId="6" borderId="44" xfId="0" applyNumberFormat="1" applyFont="1" applyFill="1" applyBorder="1"/>
    <xf numFmtId="167" fontId="1" fillId="0" borderId="44" xfId="0" applyNumberFormat="1" applyFont="1" applyBorder="1"/>
    <xf numFmtId="167" fontId="3" fillId="0" borderId="44" xfId="0" applyNumberFormat="1" applyFont="1" applyBorder="1"/>
    <xf numFmtId="167" fontId="3" fillId="20" borderId="44" xfId="0" applyNumberFormat="1" applyFont="1" applyFill="1" applyBorder="1"/>
    <xf numFmtId="167" fontId="3" fillId="6" borderId="44" xfId="0" applyNumberFormat="1" applyFont="1" applyFill="1" applyBorder="1"/>
    <xf numFmtId="2" fontId="49" fillId="13" borderId="69" xfId="0" applyNumberFormat="1" applyFont="1" applyFill="1" applyBorder="1"/>
    <xf numFmtId="2" fontId="75" fillId="13" borderId="44" xfId="0" applyNumberFormat="1" applyFont="1" applyFill="1" applyBorder="1"/>
    <xf numFmtId="3" fontId="49" fillId="19" borderId="44" xfId="0" applyNumberFormat="1" applyFont="1" applyFill="1" applyBorder="1"/>
    <xf numFmtId="2" fontId="49" fillId="15" borderId="44" xfId="0" applyNumberFormat="1" applyFont="1" applyFill="1" applyBorder="1"/>
    <xf numFmtId="2" fontId="75" fillId="15" borderId="44" xfId="0" applyNumberFormat="1" applyFont="1" applyFill="1" applyBorder="1"/>
    <xf numFmtId="2" fontId="49" fillId="14" borderId="44" xfId="0" applyNumberFormat="1" applyFont="1" applyFill="1" applyBorder="1"/>
    <xf numFmtId="2" fontId="75" fillId="14" borderId="44" xfId="0" applyNumberFormat="1" applyFont="1" applyFill="1" applyBorder="1"/>
    <xf numFmtId="2" fontId="49" fillId="16" borderId="44" xfId="0" applyNumberFormat="1" applyFont="1" applyFill="1" applyBorder="1"/>
    <xf numFmtId="2" fontId="75" fillId="16" borderId="70" xfId="0" applyNumberFormat="1" applyFont="1" applyFill="1" applyBorder="1"/>
    <xf numFmtId="2" fontId="49" fillId="13" borderId="44" xfId="0" applyNumberFormat="1" applyFont="1" applyFill="1" applyBorder="1"/>
    <xf numFmtId="2" fontId="75" fillId="16" borderId="44" xfId="0" applyNumberFormat="1" applyFont="1" applyFill="1" applyBorder="1"/>
    <xf numFmtId="0" fontId="49" fillId="19" borderId="44" xfId="0" applyFont="1" applyFill="1" applyBorder="1"/>
    <xf numFmtId="0" fontId="1" fillId="0" borderId="68" xfId="0" applyFont="1" applyBorder="1"/>
    <xf numFmtId="0" fontId="1" fillId="20" borderId="68" xfId="0" applyFont="1" applyFill="1" applyBorder="1"/>
    <xf numFmtId="0" fontId="3" fillId="20" borderId="68" xfId="0" applyFont="1" applyFill="1" applyBorder="1"/>
    <xf numFmtId="0" fontId="22" fillId="7" borderId="2" xfId="0" applyFont="1" applyFill="1" applyBorder="1" applyAlignment="1">
      <alignment horizontal="center"/>
    </xf>
    <xf numFmtId="168" fontId="28" fillId="7" borderId="24" xfId="0" applyNumberFormat="1" applyFont="1" applyFill="1" applyBorder="1" applyAlignment="1">
      <alignment horizontal="right" vertical="center"/>
    </xf>
    <xf numFmtId="172" fontId="28" fillId="7" borderId="26" xfId="0" applyNumberFormat="1" applyFont="1" applyFill="1" applyBorder="1" applyAlignment="1">
      <alignment horizontal="center" vertical="center"/>
    </xf>
    <xf numFmtId="168" fontId="28" fillId="7" borderId="24" xfId="0" applyNumberFormat="1" applyFont="1" applyFill="1" applyBorder="1" applyAlignment="1">
      <alignment vertical="center"/>
    </xf>
    <xf numFmtId="168" fontId="29" fillId="7" borderId="24" xfId="0" applyNumberFormat="1" applyFont="1" applyFill="1" applyBorder="1" applyAlignment="1">
      <alignment vertical="center"/>
    </xf>
    <xf numFmtId="172" fontId="29" fillId="7" borderId="26" xfId="0" applyNumberFormat="1" applyFont="1" applyFill="1" applyBorder="1" applyAlignment="1">
      <alignment horizontal="center" vertical="center"/>
    </xf>
    <xf numFmtId="1" fontId="24" fillId="7" borderId="6" xfId="0" applyNumberFormat="1" applyFont="1" applyFill="1" applyBorder="1" applyAlignment="1">
      <alignment vertical="center"/>
    </xf>
    <xf numFmtId="164" fontId="28" fillId="7" borderId="1" xfId="0" applyNumberFormat="1" applyFont="1" applyFill="1" applyBorder="1" applyAlignment="1">
      <alignment vertical="center"/>
    </xf>
    <xf numFmtId="164" fontId="29" fillId="7" borderId="1" xfId="0" applyNumberFormat="1" applyFont="1" applyFill="1" applyBorder="1" applyAlignment="1">
      <alignment vertical="center"/>
    </xf>
    <xf numFmtId="164" fontId="16" fillId="7" borderId="25" xfId="0" applyNumberFormat="1" applyFont="1" applyFill="1" applyBorder="1" applyAlignment="1">
      <alignment vertical="center"/>
    </xf>
    <xf numFmtId="0" fontId="16" fillId="7" borderId="25" xfId="0" applyFont="1" applyFill="1" applyBorder="1" applyAlignment="1">
      <alignment vertical="center"/>
    </xf>
    <xf numFmtId="3" fontId="16" fillId="7" borderId="25" xfId="0" applyNumberFormat="1" applyFont="1" applyFill="1" applyBorder="1" applyAlignment="1">
      <alignment vertical="center"/>
    </xf>
    <xf numFmtId="164" fontId="24" fillId="7" borderId="25" xfId="0" applyNumberFormat="1" applyFont="1" applyFill="1" applyBorder="1" applyAlignment="1">
      <alignment vertical="center"/>
    </xf>
    <xf numFmtId="0" fontId="73" fillId="9" borderId="0" xfId="0" applyFont="1" applyFill="1" applyAlignment="1">
      <alignment horizontal="center" vertical="center"/>
    </xf>
    <xf numFmtId="0" fontId="66" fillId="9" borderId="0" xfId="0" applyFont="1" applyFill="1" applyAlignment="1">
      <alignment horizontal="center" vertical="center"/>
    </xf>
    <xf numFmtId="0" fontId="48" fillId="9" borderId="0" xfId="0" applyFont="1" applyFill="1" applyAlignment="1">
      <alignment horizontal="center" vertical="center"/>
    </xf>
    <xf numFmtId="164" fontId="73" fillId="9" borderId="0" xfId="0" applyNumberFormat="1" applyFont="1" applyFill="1" applyAlignment="1">
      <alignment horizontal="right" vertical="center"/>
    </xf>
    <xf numFmtId="164" fontId="66" fillId="9" borderId="0" xfId="0" applyNumberFormat="1" applyFont="1" applyFill="1" applyAlignment="1">
      <alignment horizontal="right" vertical="center"/>
    </xf>
    <xf numFmtId="164" fontId="48" fillId="9" borderId="0" xfId="0" applyNumberFormat="1" applyFont="1" applyFill="1" applyAlignment="1">
      <alignment horizontal="right" vertical="center"/>
    </xf>
    <xf numFmtId="164" fontId="50" fillId="9" borderId="0" xfId="0" applyNumberFormat="1" applyFont="1" applyFill="1"/>
    <xf numFmtId="3" fontId="48" fillId="9" borderId="49" xfId="0" applyNumberFormat="1" applyFont="1" applyFill="1" applyBorder="1" applyAlignment="1">
      <alignment horizontal="right" vertical="center"/>
    </xf>
    <xf numFmtId="0" fontId="22" fillId="9" borderId="43" xfId="0" applyFont="1" applyFill="1" applyBorder="1" applyAlignment="1">
      <alignment horizontal="center"/>
    </xf>
    <xf numFmtId="164" fontId="50" fillId="9" borderId="43" xfId="0" applyNumberFormat="1" applyFont="1" applyFill="1" applyBorder="1"/>
    <xf numFmtId="0" fontId="65" fillId="9" borderId="43" xfId="0" applyFont="1" applyFill="1" applyBorder="1" applyAlignment="1">
      <alignment horizontal="center" vertical="center"/>
    </xf>
    <xf numFmtId="164" fontId="65" fillId="9" borderId="43" xfId="0" applyNumberFormat="1" applyFont="1" applyFill="1" applyBorder="1" applyAlignment="1">
      <alignment horizontal="right" vertical="center"/>
    </xf>
    <xf numFmtId="3" fontId="65" fillId="9" borderId="50" xfId="0" applyNumberFormat="1" applyFont="1" applyFill="1" applyBorder="1" applyAlignment="1">
      <alignment horizontal="right" vertical="center"/>
    </xf>
    <xf numFmtId="164" fontId="85" fillId="9" borderId="60" xfId="0" applyNumberFormat="1" applyFont="1" applyFill="1" applyBorder="1" applyAlignment="1">
      <alignment horizontal="right"/>
    </xf>
    <xf numFmtId="0" fontId="85" fillId="9" borderId="60" xfId="0" applyFont="1" applyFill="1" applyBorder="1" applyAlignment="1">
      <alignment horizontal="center"/>
    </xf>
    <xf numFmtId="0" fontId="85" fillId="9" borderId="60" xfId="0" applyFont="1" applyFill="1" applyBorder="1" applyAlignment="1">
      <alignment horizontal="center" vertical="center" wrapText="1"/>
    </xf>
    <xf numFmtId="3" fontId="85" fillId="9" borderId="67" xfId="0" applyNumberFormat="1" applyFont="1" applyFill="1" applyBorder="1" applyAlignment="1">
      <alignment horizontal="right"/>
    </xf>
    <xf numFmtId="0" fontId="50" fillId="9" borderId="60" xfId="0" applyFont="1" applyFill="1" applyBorder="1" applyAlignment="1">
      <alignment horizontal="center"/>
    </xf>
    <xf numFmtId="0" fontId="50" fillId="9" borderId="60" xfId="0" applyFont="1" applyFill="1" applyBorder="1" applyAlignment="1">
      <alignment horizontal="center" vertical="center" wrapText="1"/>
    </xf>
    <xf numFmtId="0" fontId="22" fillId="9" borderId="43" xfId="0" applyFont="1" applyFill="1" applyBorder="1" applyAlignment="1">
      <alignment horizontal="center" vertical="center" wrapText="1"/>
    </xf>
    <xf numFmtId="0" fontId="22" fillId="9" borderId="0" xfId="0" applyFont="1" applyFill="1" applyAlignment="1">
      <alignment horizontal="center" vertical="center" wrapText="1"/>
    </xf>
    <xf numFmtId="164" fontId="22" fillId="9" borderId="43" xfId="0" applyNumberFormat="1" applyFont="1" applyFill="1" applyBorder="1"/>
    <xf numFmtId="164" fontId="22" fillId="9" borderId="0" xfId="0" applyNumberFormat="1" applyFont="1" applyFill="1"/>
    <xf numFmtId="3" fontId="50" fillId="9" borderId="67" xfId="0" applyNumberFormat="1" applyFont="1" applyFill="1" applyBorder="1" applyAlignment="1">
      <alignment horizontal="right"/>
    </xf>
    <xf numFmtId="3" fontId="51" fillId="9" borderId="49" xfId="0" applyNumberFormat="1" applyFont="1" applyFill="1" applyBorder="1" applyAlignment="1">
      <alignment horizontal="right"/>
    </xf>
    <xf numFmtId="3" fontId="22" fillId="9" borderId="50" xfId="0" applyNumberFormat="1" applyFont="1" applyFill="1" applyBorder="1" applyAlignment="1">
      <alignment horizontal="right"/>
    </xf>
    <xf numFmtId="3" fontId="22" fillId="9" borderId="49" xfId="0" applyNumberFormat="1" applyFont="1" applyFill="1" applyBorder="1" applyAlignment="1">
      <alignment horizontal="right"/>
    </xf>
    <xf numFmtId="0" fontId="87" fillId="9" borderId="60" xfId="0" applyFont="1" applyFill="1" applyBorder="1" applyAlignment="1">
      <alignment horizontal="center"/>
    </xf>
    <xf numFmtId="0" fontId="87" fillId="9" borderId="60" xfId="0" applyFont="1" applyFill="1" applyBorder="1" applyAlignment="1">
      <alignment horizontal="center" vertical="center" wrapText="1"/>
    </xf>
    <xf numFmtId="164" fontId="87" fillId="9" borderId="60" xfId="0" applyNumberFormat="1" applyFont="1" applyFill="1" applyBorder="1"/>
    <xf numFmtId="3" fontId="87" fillId="9" borderId="67" xfId="0" applyNumberFormat="1" applyFont="1" applyFill="1" applyBorder="1" applyAlignment="1">
      <alignment horizontal="right"/>
    </xf>
    <xf numFmtId="167" fontId="1" fillId="20" borderId="71" xfId="0" applyNumberFormat="1" applyFont="1" applyFill="1" applyBorder="1"/>
    <xf numFmtId="167" fontId="1" fillId="20" borderId="72" xfId="0" applyNumberFormat="1" applyFont="1" applyFill="1" applyBorder="1"/>
    <xf numFmtId="167" fontId="1" fillId="0" borderId="1" xfId="0" applyNumberFormat="1" applyFont="1" applyBorder="1"/>
    <xf numFmtId="167" fontId="1" fillId="0" borderId="71" xfId="0" applyNumberFormat="1" applyFont="1" applyBorder="1"/>
    <xf numFmtId="167" fontId="1" fillId="0" borderId="72" xfId="0" applyNumberFormat="1" applyFont="1" applyBorder="1"/>
    <xf numFmtId="167" fontId="1" fillId="20" borderId="1" xfId="0" applyNumberFormat="1" applyFont="1" applyFill="1" applyBorder="1"/>
    <xf numFmtId="167" fontId="3" fillId="0" borderId="72" xfId="0" applyNumberFormat="1" applyFont="1" applyBorder="1"/>
    <xf numFmtId="167" fontId="3" fillId="20" borderId="72" xfId="0" applyNumberFormat="1" applyFont="1" applyFill="1" applyBorder="1"/>
    <xf numFmtId="167" fontId="3" fillId="0" borderId="1" xfId="0" applyNumberFormat="1" applyFont="1" applyBorder="1"/>
    <xf numFmtId="167" fontId="3" fillId="0" borderId="71" xfId="0" applyNumberFormat="1" applyFont="1" applyBorder="1"/>
    <xf numFmtId="167" fontId="3" fillId="20" borderId="1" xfId="0" applyNumberFormat="1" applyFont="1" applyFill="1" applyBorder="1"/>
    <xf numFmtId="167" fontId="3" fillId="20" borderId="71" xfId="0" applyNumberFormat="1" applyFont="1" applyFill="1" applyBorder="1"/>
    <xf numFmtId="167" fontId="86" fillId="0" borderId="0" xfId="0" applyNumberFormat="1" applyFont="1"/>
    <xf numFmtId="167" fontId="86" fillId="0" borderId="1" xfId="0" applyNumberFormat="1" applyFont="1" applyBorder="1"/>
    <xf numFmtId="167" fontId="86" fillId="0" borderId="44" xfId="0" applyNumberFormat="1" applyFont="1" applyBorder="1"/>
    <xf numFmtId="167" fontId="86" fillId="0" borderId="71" xfId="0" applyNumberFormat="1" applyFont="1" applyBorder="1"/>
    <xf numFmtId="167" fontId="86" fillId="20" borderId="1" xfId="0" applyNumberFormat="1" applyFont="1" applyFill="1" applyBorder="1"/>
    <xf numFmtId="167" fontId="86" fillId="0" borderId="72" xfId="0" applyNumberFormat="1" applyFont="1" applyBorder="1"/>
    <xf numFmtId="167" fontId="86" fillId="20" borderId="44" xfId="0" applyNumberFormat="1" applyFont="1" applyFill="1" applyBorder="1"/>
    <xf numFmtId="167" fontId="86" fillId="20" borderId="71" xfId="0" applyNumberFormat="1" applyFont="1" applyFill="1" applyBorder="1"/>
    <xf numFmtId="167" fontId="86" fillId="20" borderId="72" xfId="0" applyNumberFormat="1" applyFont="1" applyFill="1" applyBorder="1"/>
    <xf numFmtId="3" fontId="3" fillId="21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41" fillId="9" borderId="60" xfId="0" applyFont="1" applyFill="1" applyBorder="1" applyAlignment="1">
      <alignment horizontal="center" vertical="center"/>
    </xf>
    <xf numFmtId="0" fontId="44" fillId="9" borderId="0" xfId="0" applyFont="1" applyFill="1" applyAlignment="1">
      <alignment horizontal="center" vertical="center"/>
    </xf>
    <xf numFmtId="0" fontId="51" fillId="9" borderId="0" xfId="0" applyFont="1" applyFill="1" applyAlignment="1">
      <alignment horizontal="center"/>
    </xf>
    <xf numFmtId="0" fontId="88" fillId="9" borderId="43" xfId="0" applyFont="1" applyFill="1" applyBorder="1" applyAlignment="1">
      <alignment horizontal="center"/>
    </xf>
    <xf numFmtId="0" fontId="51" fillId="9" borderId="0" xfId="0" applyFont="1" applyFill="1" applyAlignment="1">
      <alignment horizontal="center" vertical="center" wrapText="1"/>
    </xf>
    <xf numFmtId="0" fontId="88" fillId="9" borderId="43" xfId="0" applyFont="1" applyFill="1" applyBorder="1" applyAlignment="1">
      <alignment horizontal="center" vertical="center" wrapText="1"/>
    </xf>
    <xf numFmtId="164" fontId="41" fillId="9" borderId="60" xfId="0" applyNumberFormat="1" applyFont="1" applyFill="1" applyBorder="1" applyAlignment="1">
      <alignment horizontal="right" vertical="center"/>
    </xf>
    <xf numFmtId="164" fontId="44" fillId="9" borderId="0" xfId="0" applyNumberFormat="1" applyFont="1" applyFill="1" applyAlignment="1">
      <alignment horizontal="right" vertical="center"/>
    </xf>
    <xf numFmtId="164" fontId="88" fillId="9" borderId="43" xfId="0" applyNumberFormat="1" applyFont="1" applyFill="1" applyBorder="1"/>
    <xf numFmtId="164" fontId="51" fillId="9" borderId="60" xfId="0" applyNumberFormat="1" applyFont="1" applyFill="1" applyBorder="1"/>
    <xf numFmtId="3" fontId="41" fillId="9" borderId="67" xfId="0" applyNumberFormat="1" applyFont="1" applyFill="1" applyBorder="1" applyAlignment="1">
      <alignment horizontal="right" vertical="center"/>
    </xf>
    <xf numFmtId="3" fontId="88" fillId="9" borderId="50" xfId="0" applyNumberFormat="1" applyFont="1" applyFill="1" applyBorder="1" applyAlignment="1">
      <alignment horizontal="right"/>
    </xf>
    <xf numFmtId="3" fontId="24" fillId="7" borderId="25" xfId="0" applyNumberFormat="1" applyFont="1" applyFill="1" applyBorder="1" applyAlignment="1">
      <alignment vertical="center"/>
    </xf>
    <xf numFmtId="0" fontId="13" fillId="7" borderId="26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164" fontId="1" fillId="0" borderId="68" xfId="0" applyNumberFormat="1" applyFont="1" applyBorder="1"/>
    <xf numFmtId="164" fontId="1" fillId="20" borderId="68" xfId="0" applyNumberFormat="1" applyFont="1" applyFill="1" applyBorder="1"/>
    <xf numFmtId="164" fontId="3" fillId="20" borderId="68" xfId="0" applyNumberFormat="1" applyFont="1" applyFill="1" applyBorder="1"/>
    <xf numFmtId="3" fontId="1" fillId="0" borderId="68" xfId="0" applyNumberFormat="1" applyFont="1" applyBorder="1"/>
    <xf numFmtId="3" fontId="1" fillId="20" borderId="68" xfId="0" applyNumberFormat="1" applyFont="1" applyFill="1" applyBorder="1"/>
    <xf numFmtId="3" fontId="3" fillId="20" borderId="68" xfId="0" applyNumberFormat="1" applyFont="1" applyFill="1" applyBorder="1"/>
    <xf numFmtId="0" fontId="90" fillId="0" borderId="0" xfId="0" applyFont="1"/>
    <xf numFmtId="0" fontId="1" fillId="22" borderId="68" xfId="0" applyFont="1" applyFill="1" applyBorder="1"/>
    <xf numFmtId="0" fontId="1" fillId="22" borderId="68" xfId="0" applyFont="1" applyFill="1" applyBorder="1" applyAlignment="1">
      <alignment horizontal="right"/>
    </xf>
    <xf numFmtId="0" fontId="0" fillId="22" borderId="0" xfId="0" applyFill="1"/>
    <xf numFmtId="167" fontId="1" fillId="0" borderId="0" xfId="0" applyNumberFormat="1" applyFont="1"/>
    <xf numFmtId="4" fontId="52" fillId="13" borderId="0" xfId="0" applyNumberFormat="1" applyFont="1" applyFill="1"/>
    <xf numFmtId="4" fontId="75" fillId="13" borderId="44" xfId="0" applyNumberFormat="1" applyFont="1" applyFill="1" applyBorder="1"/>
    <xf numFmtId="4" fontId="1" fillId="0" borderId="44" xfId="0" applyNumberFormat="1" applyFont="1" applyBorder="1"/>
    <xf numFmtId="4" fontId="1" fillId="20" borderId="44" xfId="0" applyNumberFormat="1" applyFont="1" applyFill="1" applyBorder="1"/>
    <xf numFmtId="4" fontId="1" fillId="20" borderId="71" xfId="0" applyNumberFormat="1" applyFont="1" applyFill="1" applyBorder="1"/>
    <xf numFmtId="4" fontId="1" fillId="20" borderId="72" xfId="0" applyNumberFormat="1" applyFont="1" applyFill="1" applyBorder="1"/>
    <xf numFmtId="4" fontId="3" fillId="0" borderId="0" xfId="0" applyNumberFormat="1" applyFont="1"/>
    <xf numFmtId="4" fontId="3" fillId="20" borderId="72" xfId="0" applyNumberFormat="1" applyFont="1" applyFill="1" applyBorder="1"/>
    <xf numFmtId="4" fontId="3" fillId="0" borderId="44" xfId="0" applyNumberFormat="1" applyFont="1" applyBorder="1"/>
    <xf numFmtId="4" fontId="3" fillId="20" borderId="44" xfId="0" applyNumberFormat="1" applyFont="1" applyFill="1" applyBorder="1"/>
    <xf numFmtId="4" fontId="1" fillId="0" borderId="68" xfId="0" applyNumberFormat="1" applyFont="1" applyBorder="1"/>
    <xf numFmtId="4" fontId="1" fillId="20" borderId="68" xfId="0" applyNumberFormat="1" applyFont="1" applyFill="1" applyBorder="1"/>
    <xf numFmtId="4" fontId="3" fillId="20" borderId="68" xfId="0" applyNumberFormat="1" applyFont="1" applyFill="1" applyBorder="1"/>
    <xf numFmtId="4" fontId="1" fillId="15" borderId="0" xfId="0" applyNumberFormat="1" applyFont="1" applyFill="1" applyAlignment="1">
      <alignment horizontal="center"/>
    </xf>
    <xf numFmtId="167" fontId="1" fillId="20" borderId="0" xfId="0" applyNumberFormat="1" applyFont="1" applyFill="1"/>
    <xf numFmtId="2" fontId="6" fillId="16" borderId="0" xfId="0" applyNumberFormat="1" applyFont="1" applyFill="1"/>
    <xf numFmtId="0" fontId="1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3" fontId="49" fillId="19" borderId="0" xfId="0" applyNumberFormat="1" applyFont="1" applyFill="1"/>
    <xf numFmtId="167" fontId="86" fillId="20" borderId="0" xfId="0" applyNumberFormat="1" applyFont="1" applyFill="1"/>
    <xf numFmtId="165" fontId="1" fillId="0" borderId="68" xfId="0" applyNumberFormat="1" applyFont="1" applyBorder="1"/>
    <xf numFmtId="165" fontId="1" fillId="20" borderId="68" xfId="0" applyNumberFormat="1" applyFont="1" applyFill="1" applyBorder="1"/>
    <xf numFmtId="165" fontId="3" fillId="20" borderId="68" xfId="0" applyNumberFormat="1" applyFont="1" applyFill="1" applyBorder="1"/>
    <xf numFmtId="4" fontId="1" fillId="0" borderId="1" xfId="0" applyNumberFormat="1" applyFont="1" applyBorder="1"/>
    <xf numFmtId="0" fontId="1" fillId="22" borderId="0" xfId="0" applyFont="1" applyFill="1"/>
    <xf numFmtId="0" fontId="15" fillId="3" borderId="4" xfId="0" applyFont="1" applyFill="1" applyBorder="1" applyAlignment="1">
      <alignment vertical="center"/>
    </xf>
    <xf numFmtId="0" fontId="15" fillId="3" borderId="10" xfId="0" quotePrefix="1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left" vertical="center"/>
    </xf>
    <xf numFmtId="165" fontId="77" fillId="3" borderId="11" xfId="0" quotePrefix="1" applyNumberFormat="1" applyFont="1" applyFill="1" applyBorder="1" applyAlignment="1">
      <alignment horizontal="right" vertical="center"/>
    </xf>
    <xf numFmtId="165" fontId="15" fillId="3" borderId="11" xfId="0" applyNumberFormat="1" applyFont="1" applyFill="1" applyBorder="1" applyAlignment="1">
      <alignment horizontal="right" vertical="center"/>
    </xf>
    <xf numFmtId="165" fontId="15" fillId="3" borderId="11" xfId="0" quotePrefix="1" applyNumberFormat="1" applyFont="1" applyFill="1" applyBorder="1" applyAlignment="1">
      <alignment horizontal="left" vertical="center"/>
    </xf>
    <xf numFmtId="0" fontId="34" fillId="3" borderId="8" xfId="0" applyFont="1" applyFill="1" applyBorder="1" applyAlignment="1">
      <alignment horizontal="center" vertical="center"/>
    </xf>
    <xf numFmtId="0" fontId="81" fillId="3" borderId="5" xfId="0" applyFont="1" applyFill="1" applyBorder="1" applyAlignment="1">
      <alignment horizontal="center" vertical="center"/>
    </xf>
    <xf numFmtId="0" fontId="1" fillId="0" borderId="5" xfId="0" applyFont="1" applyBorder="1"/>
    <xf numFmtId="3" fontId="1" fillId="0" borderId="5" xfId="0" applyNumberFormat="1" applyFont="1" applyBorder="1"/>
    <xf numFmtId="4" fontId="1" fillId="0" borderId="5" xfId="0" applyNumberFormat="1" applyFont="1" applyBorder="1"/>
    <xf numFmtId="167" fontId="1" fillId="0" borderId="5" xfId="0" applyNumberFormat="1" applyFont="1" applyBorder="1"/>
    <xf numFmtId="0" fontId="1" fillId="16" borderId="5" xfId="0" applyFont="1" applyFill="1" applyBorder="1"/>
    <xf numFmtId="3" fontId="1" fillId="16" borderId="5" xfId="0" applyNumberFormat="1" applyFont="1" applyFill="1" applyBorder="1"/>
    <xf numFmtId="4" fontId="1" fillId="16" borderId="5" xfId="0" applyNumberFormat="1" applyFont="1" applyFill="1" applyBorder="1"/>
    <xf numFmtId="164" fontId="1" fillId="0" borderId="5" xfId="0" applyNumberFormat="1" applyFont="1" applyBorder="1"/>
    <xf numFmtId="164" fontId="1" fillId="16" borderId="5" xfId="0" applyNumberFormat="1" applyFont="1" applyFill="1" applyBorder="1"/>
    <xf numFmtId="0" fontId="26" fillId="9" borderId="24" xfId="0" applyFont="1" applyFill="1" applyBorder="1" applyAlignment="1">
      <alignment horizontal="left" vertical="center" wrapText="1"/>
    </xf>
    <xf numFmtId="0" fontId="26" fillId="9" borderId="25" xfId="0" applyFont="1" applyFill="1" applyBorder="1" applyAlignment="1">
      <alignment horizontal="left" vertical="center" wrapText="1"/>
    </xf>
    <xf numFmtId="0" fontId="26" fillId="9" borderId="26" xfId="0" applyFont="1" applyFill="1" applyBorder="1" applyAlignment="1">
      <alignment horizontal="left" vertical="center" wrapText="1"/>
    </xf>
    <xf numFmtId="0" fontId="26" fillId="2" borderId="24" xfId="0" applyFont="1" applyFill="1" applyBorder="1" applyAlignment="1">
      <alignment horizontal="left" vertical="center" wrapText="1"/>
    </xf>
    <xf numFmtId="0" fontId="26" fillId="2" borderId="25" xfId="0" applyFont="1" applyFill="1" applyBorder="1" applyAlignment="1">
      <alignment horizontal="left" vertical="center" wrapText="1"/>
    </xf>
    <xf numFmtId="0" fontId="26" fillId="2" borderId="26" xfId="0" applyFont="1" applyFill="1" applyBorder="1" applyAlignment="1">
      <alignment horizontal="left" vertical="center" wrapText="1"/>
    </xf>
    <xf numFmtId="0" fontId="54" fillId="18" borderId="24" xfId="0" applyFont="1" applyFill="1" applyBorder="1" applyAlignment="1">
      <alignment horizontal="center" vertical="center"/>
    </xf>
    <xf numFmtId="0" fontId="54" fillId="18" borderId="25" xfId="0" applyFont="1" applyFill="1" applyBorder="1" applyAlignment="1">
      <alignment horizontal="center" vertical="center"/>
    </xf>
    <xf numFmtId="0" fontId="54" fillId="18" borderId="26" xfId="0" applyFont="1" applyFill="1" applyBorder="1" applyAlignment="1">
      <alignment horizontal="center" vertical="center"/>
    </xf>
    <xf numFmtId="3" fontId="55" fillId="4" borderId="24" xfId="0" applyNumberFormat="1" applyFont="1" applyFill="1" applyBorder="1" applyAlignment="1">
      <alignment horizontal="center"/>
    </xf>
    <xf numFmtId="3" fontId="55" fillId="4" borderId="25" xfId="0" applyNumberFormat="1" applyFont="1" applyFill="1" applyBorder="1" applyAlignment="1">
      <alignment horizontal="center"/>
    </xf>
    <xf numFmtId="3" fontId="55" fillId="4" borderId="26" xfId="0" applyNumberFormat="1" applyFont="1" applyFill="1" applyBorder="1" applyAlignment="1">
      <alignment horizontal="center"/>
    </xf>
    <xf numFmtId="0" fontId="42" fillId="9" borderId="0" xfId="0" applyFont="1" applyFill="1" applyAlignment="1">
      <alignment horizontal="left" vertical="center" wrapText="1"/>
    </xf>
    <xf numFmtId="0" fontId="17" fillId="9" borderId="0" xfId="0" applyFont="1" applyFill="1" applyAlignment="1">
      <alignment horizontal="left" vertical="center" wrapText="1"/>
    </xf>
    <xf numFmtId="0" fontId="72" fillId="9" borderId="0" xfId="0" applyFont="1" applyFill="1" applyAlignment="1">
      <alignment horizontal="left" vertical="center" wrapText="1"/>
    </xf>
    <xf numFmtId="0" fontId="26" fillId="5" borderId="24" xfId="0" applyFont="1" applyFill="1" applyBorder="1" applyAlignment="1">
      <alignment horizontal="left" vertical="center" wrapText="1"/>
    </xf>
    <xf numFmtId="0" fontId="26" fillId="5" borderId="25" xfId="0" applyFont="1" applyFill="1" applyBorder="1" applyAlignment="1">
      <alignment horizontal="left" vertical="center" wrapText="1"/>
    </xf>
    <xf numFmtId="0" fontId="26" fillId="5" borderId="26" xfId="0" applyFont="1" applyFill="1" applyBorder="1" applyAlignment="1">
      <alignment horizontal="left" vertical="center" wrapText="1"/>
    </xf>
    <xf numFmtId="4" fontId="55" fillId="4" borderId="61" xfId="0" applyNumberFormat="1" applyFont="1" applyFill="1" applyBorder="1" applyAlignment="1">
      <alignment horizontal="center" vertical="center" wrapText="1"/>
    </xf>
    <xf numFmtId="4" fontId="55" fillId="4" borderId="62" xfId="0" applyNumberFormat="1" applyFont="1" applyFill="1" applyBorder="1" applyAlignment="1">
      <alignment horizontal="center" vertical="center" wrapText="1"/>
    </xf>
    <xf numFmtId="4" fontId="55" fillId="4" borderId="63" xfId="0" applyNumberFormat="1" applyFont="1" applyFill="1" applyBorder="1" applyAlignment="1">
      <alignment horizontal="center" vertical="center" wrapText="1"/>
    </xf>
    <xf numFmtId="4" fontId="55" fillId="4" borderId="61" xfId="0" applyNumberFormat="1" applyFont="1" applyFill="1" applyBorder="1" applyAlignment="1">
      <alignment horizontal="center" vertical="top" wrapText="1"/>
    </xf>
    <xf numFmtId="4" fontId="55" fillId="4" borderId="62" xfId="0" applyNumberFormat="1" applyFont="1" applyFill="1" applyBorder="1" applyAlignment="1">
      <alignment horizontal="center" vertical="top" wrapText="1"/>
    </xf>
    <xf numFmtId="4" fontId="55" fillId="4" borderId="63" xfId="0" applyNumberFormat="1" applyFont="1" applyFill="1" applyBorder="1" applyAlignment="1">
      <alignment horizontal="center" vertical="top" wrapText="1"/>
    </xf>
    <xf numFmtId="0" fontId="42" fillId="9" borderId="0" xfId="0" applyFont="1" applyFill="1" applyAlignment="1">
      <alignment horizontal="center" vertical="center" wrapText="1"/>
    </xf>
    <xf numFmtId="164" fontId="22" fillId="7" borderId="38" xfId="0" quotePrefix="1" applyNumberFormat="1" applyFont="1" applyFill="1" applyBorder="1" applyAlignment="1">
      <alignment horizontal="center" vertical="center"/>
    </xf>
    <xf numFmtId="0" fontId="64" fillId="9" borderId="65" xfId="0" applyFont="1" applyFill="1" applyBorder="1" applyAlignment="1">
      <alignment horizontal="center"/>
    </xf>
    <xf numFmtId="0" fontId="64" fillId="9" borderId="66" xfId="0" applyFont="1" applyFill="1" applyBorder="1" applyAlignment="1">
      <alignment horizontal="center"/>
    </xf>
    <xf numFmtId="0" fontId="64" fillId="9" borderId="64" xfId="0" applyFont="1" applyFill="1" applyBorder="1" applyAlignment="1">
      <alignment horizontal="center"/>
    </xf>
    <xf numFmtId="0" fontId="59" fillId="4" borderId="32" xfId="0" applyFont="1" applyFill="1" applyBorder="1" applyAlignment="1">
      <alignment horizontal="center" vertical="center" wrapText="1"/>
    </xf>
    <xf numFmtId="0" fontId="59" fillId="4" borderId="38" xfId="0" applyFont="1" applyFill="1" applyBorder="1" applyAlignment="1">
      <alignment horizontal="center" vertical="center" wrapText="1"/>
    </xf>
    <xf numFmtId="0" fontId="59" fillId="4" borderId="33" xfId="0" applyFont="1" applyFill="1" applyBorder="1" applyAlignment="1">
      <alignment horizontal="center" vertical="center" wrapText="1"/>
    </xf>
    <xf numFmtId="0" fontId="59" fillId="4" borderId="34" xfId="0" applyFont="1" applyFill="1" applyBorder="1" applyAlignment="1">
      <alignment horizontal="center" vertical="center" wrapText="1"/>
    </xf>
    <xf numFmtId="0" fontId="59" fillId="4" borderId="0" xfId="0" applyFont="1" applyFill="1" applyAlignment="1">
      <alignment horizontal="center" vertical="center" wrapText="1"/>
    </xf>
    <xf numFmtId="0" fontId="59" fillId="4" borderId="35" xfId="0" applyFont="1" applyFill="1" applyBorder="1" applyAlignment="1">
      <alignment horizontal="center" vertical="center" wrapText="1"/>
    </xf>
    <xf numFmtId="0" fontId="59" fillId="4" borderId="36" xfId="0" applyFont="1" applyFill="1" applyBorder="1" applyAlignment="1">
      <alignment horizontal="center" vertical="center" wrapText="1"/>
    </xf>
    <xf numFmtId="0" fontId="59" fillId="4" borderId="39" xfId="0" applyFont="1" applyFill="1" applyBorder="1" applyAlignment="1">
      <alignment horizontal="center" vertical="center" wrapText="1"/>
    </xf>
    <xf numFmtId="0" fontId="59" fillId="4" borderId="37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0" fontId="26" fillId="7" borderId="4" xfId="0" applyFont="1" applyFill="1" applyBorder="1" applyAlignment="1">
      <alignment horizontal="center"/>
    </xf>
    <xf numFmtId="0" fontId="42" fillId="4" borderId="32" xfId="0" applyFont="1" applyFill="1" applyBorder="1" applyAlignment="1">
      <alignment horizontal="center"/>
    </xf>
    <xf numFmtId="0" fontId="42" fillId="4" borderId="38" xfId="0" applyFont="1" applyFill="1" applyBorder="1" applyAlignment="1">
      <alignment horizontal="center"/>
    </xf>
    <xf numFmtId="0" fontId="42" fillId="4" borderId="33" xfId="0" applyFont="1" applyFill="1" applyBorder="1" applyAlignment="1">
      <alignment horizontal="center"/>
    </xf>
    <xf numFmtId="0" fontId="45" fillId="4" borderId="36" xfId="1" applyFont="1" applyFill="1" applyBorder="1" applyAlignment="1">
      <alignment horizontal="center"/>
    </xf>
    <xf numFmtId="0" fontId="45" fillId="4" borderId="39" xfId="1" applyFont="1" applyFill="1" applyBorder="1" applyAlignment="1">
      <alignment horizontal="center"/>
    </xf>
    <xf numFmtId="0" fontId="45" fillId="4" borderId="37" xfId="1" applyFont="1" applyFill="1" applyBorder="1" applyAlignment="1">
      <alignment horizontal="center"/>
    </xf>
    <xf numFmtId="0" fontId="17" fillId="9" borderId="65" xfId="0" applyFont="1" applyFill="1" applyBorder="1" applyAlignment="1">
      <alignment horizontal="center"/>
    </xf>
    <xf numFmtId="0" fontId="17" fillId="9" borderId="66" xfId="0" applyFont="1" applyFill="1" applyBorder="1" applyAlignment="1">
      <alignment horizontal="center"/>
    </xf>
    <xf numFmtId="0" fontId="17" fillId="9" borderId="64" xfId="0" applyFont="1" applyFill="1" applyBorder="1" applyAlignment="1">
      <alignment horizontal="center"/>
    </xf>
    <xf numFmtId="0" fontId="26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24" fillId="7" borderId="5" xfId="0" applyFont="1" applyFill="1" applyBorder="1" applyAlignment="1">
      <alignment horizontal="center"/>
    </xf>
    <xf numFmtId="3" fontId="10" fillId="10" borderId="17" xfId="0" applyNumberFormat="1" applyFont="1" applyFill="1" applyBorder="1" applyAlignment="1">
      <alignment horizontal="center" vertical="center"/>
    </xf>
    <xf numFmtId="3" fontId="10" fillId="10" borderId="23" xfId="0" applyNumberFormat="1" applyFont="1" applyFill="1" applyBorder="1" applyAlignment="1">
      <alignment horizontal="center" vertical="center"/>
    </xf>
    <xf numFmtId="3" fontId="10" fillId="10" borderId="20" xfId="0" applyNumberFormat="1" applyFont="1" applyFill="1" applyBorder="1" applyAlignment="1">
      <alignment horizontal="center" vertical="center"/>
    </xf>
    <xf numFmtId="3" fontId="10" fillId="11" borderId="17" xfId="0" applyNumberFormat="1" applyFont="1" applyFill="1" applyBorder="1" applyAlignment="1">
      <alignment horizontal="center" vertical="center" wrapText="1"/>
    </xf>
    <xf numFmtId="3" fontId="10" fillId="11" borderId="20" xfId="0" applyNumberFormat="1" applyFont="1" applyFill="1" applyBorder="1" applyAlignment="1">
      <alignment horizontal="center" vertical="center" wrapText="1"/>
    </xf>
    <xf numFmtId="164" fontId="11" fillId="10" borderId="18" xfId="0" applyNumberFormat="1" applyFont="1" applyFill="1" applyBorder="1" applyAlignment="1">
      <alignment horizontal="center" vertical="center"/>
    </xf>
    <xf numFmtId="164" fontId="11" fillId="10" borderId="12" xfId="0" applyNumberFormat="1" applyFont="1" applyFill="1" applyBorder="1" applyAlignment="1">
      <alignment horizontal="center" vertical="center"/>
    </xf>
    <xf numFmtId="164" fontId="11" fillId="10" borderId="42" xfId="0" applyNumberFormat="1" applyFont="1" applyFill="1" applyBorder="1" applyAlignment="1">
      <alignment horizontal="center" vertical="center"/>
    </xf>
    <xf numFmtId="164" fontId="11" fillId="10" borderId="18" xfId="0" applyNumberFormat="1" applyFont="1" applyFill="1" applyBorder="1" applyAlignment="1">
      <alignment horizontal="left" vertical="center"/>
    </xf>
    <xf numFmtId="164" fontId="11" fillId="10" borderId="12" xfId="0" applyNumberFormat="1" applyFont="1" applyFill="1" applyBorder="1" applyAlignment="1">
      <alignment horizontal="left" vertical="center"/>
    </xf>
    <xf numFmtId="164" fontId="11" fillId="10" borderId="19" xfId="0" applyNumberFormat="1" applyFont="1" applyFill="1" applyBorder="1" applyAlignment="1">
      <alignment horizontal="left" vertical="center"/>
    </xf>
    <xf numFmtId="164" fontId="11" fillId="11" borderId="21" xfId="0" applyNumberFormat="1" applyFont="1" applyFill="1" applyBorder="1" applyAlignment="1">
      <alignment horizontal="left" vertical="center"/>
    </xf>
    <xf numFmtId="164" fontId="11" fillId="11" borderId="47" xfId="0" applyNumberFormat="1" applyFont="1" applyFill="1" applyBorder="1" applyAlignment="1">
      <alignment horizontal="left" vertical="center"/>
    </xf>
    <xf numFmtId="164" fontId="11" fillId="11" borderId="22" xfId="0" applyNumberFormat="1" applyFont="1" applyFill="1" applyBorder="1" applyAlignment="1">
      <alignment horizontal="left" vertical="center"/>
    </xf>
    <xf numFmtId="164" fontId="11" fillId="11" borderId="18" xfId="0" applyNumberFormat="1" applyFont="1" applyFill="1" applyBorder="1" applyAlignment="1">
      <alignment horizontal="left" vertical="center"/>
    </xf>
    <xf numFmtId="164" fontId="11" fillId="11" borderId="12" xfId="0" applyNumberFormat="1" applyFont="1" applyFill="1" applyBorder="1" applyAlignment="1">
      <alignment horizontal="left" vertical="center"/>
    </xf>
    <xf numFmtId="164" fontId="11" fillId="11" borderId="19" xfId="0" applyNumberFormat="1" applyFont="1" applyFill="1" applyBorder="1" applyAlignment="1">
      <alignment horizontal="left" vertical="center"/>
    </xf>
    <xf numFmtId="164" fontId="11" fillId="10" borderId="6" xfId="0" applyNumberFormat="1" applyFont="1" applyFill="1" applyBorder="1" applyAlignment="1">
      <alignment horizontal="left" vertical="center"/>
    </xf>
    <xf numFmtId="164" fontId="11" fillId="10" borderId="15" xfId="0" applyNumberFormat="1" applyFont="1" applyFill="1" applyBorder="1" applyAlignment="1">
      <alignment horizontal="left" vertical="center"/>
    </xf>
    <xf numFmtId="164" fontId="11" fillId="10" borderId="4" xfId="0" applyNumberFormat="1" applyFont="1" applyFill="1" applyBorder="1" applyAlignment="1">
      <alignment horizontal="left" vertical="center"/>
    </xf>
    <xf numFmtId="164" fontId="11" fillId="10" borderId="21" xfId="0" applyNumberFormat="1" applyFont="1" applyFill="1" applyBorder="1" applyAlignment="1">
      <alignment horizontal="left" vertical="center"/>
    </xf>
    <xf numFmtId="164" fontId="11" fillId="10" borderId="47" xfId="0" applyNumberFormat="1" applyFont="1" applyFill="1" applyBorder="1" applyAlignment="1">
      <alignment horizontal="left" vertical="center"/>
    </xf>
    <xf numFmtId="164" fontId="11" fillId="10" borderId="22" xfId="0" applyNumberFormat="1" applyFont="1" applyFill="1" applyBorder="1" applyAlignment="1">
      <alignment horizontal="left" vertical="center"/>
    </xf>
    <xf numFmtId="164" fontId="46" fillId="9" borderId="32" xfId="0" applyNumberFormat="1" applyFont="1" applyFill="1" applyBorder="1" applyAlignment="1">
      <alignment horizontal="center" vertical="center" wrapText="1"/>
    </xf>
    <xf numFmtId="164" fontId="46" fillId="9" borderId="38" xfId="0" applyNumberFormat="1" applyFont="1" applyFill="1" applyBorder="1" applyAlignment="1">
      <alignment horizontal="center" vertical="center" wrapText="1"/>
    </xf>
    <xf numFmtId="164" fontId="46" fillId="9" borderId="34" xfId="0" applyNumberFormat="1" applyFont="1" applyFill="1" applyBorder="1" applyAlignment="1">
      <alignment horizontal="center" vertical="center" wrapText="1"/>
    </xf>
    <xf numFmtId="164" fontId="46" fillId="9" borderId="0" xfId="0" applyNumberFormat="1" applyFont="1" applyFill="1" applyAlignment="1">
      <alignment horizontal="center" vertical="center" wrapText="1"/>
    </xf>
    <xf numFmtId="164" fontId="46" fillId="9" borderId="36" xfId="0" applyNumberFormat="1" applyFont="1" applyFill="1" applyBorder="1" applyAlignment="1">
      <alignment horizontal="center" vertical="center" wrapText="1"/>
    </xf>
    <xf numFmtId="164" fontId="46" fillId="9" borderId="39" xfId="0" applyNumberFormat="1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46" xfId="0" applyFont="1" applyFill="1" applyBorder="1" applyAlignment="1">
      <alignment horizontal="center" vertical="center" wrapText="1"/>
    </xf>
    <xf numFmtId="164" fontId="26" fillId="10" borderId="51" xfId="0" applyNumberFormat="1" applyFont="1" applyFill="1" applyBorder="1" applyAlignment="1">
      <alignment horizontal="left" vertical="center"/>
    </xf>
    <xf numFmtId="164" fontId="26" fillId="10" borderId="25" xfId="0" applyNumberFormat="1" applyFont="1" applyFill="1" applyBorder="1" applyAlignment="1">
      <alignment horizontal="left" vertical="center"/>
    </xf>
    <xf numFmtId="164" fontId="26" fillId="10" borderId="52" xfId="0" applyNumberFormat="1" applyFont="1" applyFill="1" applyBorder="1" applyAlignment="1">
      <alignment horizontal="left" vertical="center"/>
    </xf>
    <xf numFmtId="164" fontId="11" fillId="11" borderId="51" xfId="0" applyNumberFormat="1" applyFont="1" applyFill="1" applyBorder="1" applyAlignment="1">
      <alignment horizontal="left" vertical="center"/>
    </xf>
    <xf numFmtId="164" fontId="11" fillId="11" borderId="25" xfId="0" applyNumberFormat="1" applyFont="1" applyFill="1" applyBorder="1" applyAlignment="1">
      <alignment horizontal="left" vertical="center"/>
    </xf>
    <xf numFmtId="164" fontId="11" fillId="11" borderId="52" xfId="0" applyNumberFormat="1" applyFont="1" applyFill="1" applyBorder="1" applyAlignment="1">
      <alignment horizontal="left" vertical="center"/>
    </xf>
    <xf numFmtId="165" fontId="60" fillId="0" borderId="58" xfId="0" applyNumberFormat="1" applyFont="1" applyBorder="1" applyAlignment="1">
      <alignment horizontal="left" vertical="center" wrapText="1"/>
    </xf>
    <xf numFmtId="165" fontId="60" fillId="0" borderId="59" xfId="0" applyNumberFormat="1" applyFont="1" applyBorder="1" applyAlignment="1">
      <alignment horizontal="left" vertical="center" wrapText="1"/>
    </xf>
    <xf numFmtId="4" fontId="53" fillId="0" borderId="31" xfId="0" applyNumberFormat="1" applyFont="1" applyBorder="1" applyAlignment="1">
      <alignment horizontal="center" vertical="center"/>
    </xf>
    <xf numFmtId="4" fontId="53" fillId="0" borderId="30" xfId="0" applyNumberFormat="1" applyFont="1" applyBorder="1" applyAlignment="1">
      <alignment horizontal="center" vertical="center"/>
    </xf>
    <xf numFmtId="4" fontId="63" fillId="0" borderId="34" xfId="0" quotePrefix="1" applyNumberFormat="1" applyFont="1" applyBorder="1" applyAlignment="1">
      <alignment horizontal="center" vertical="center" wrapText="1"/>
    </xf>
    <xf numFmtId="4" fontId="63" fillId="0" borderId="0" xfId="0" quotePrefix="1" applyNumberFormat="1" applyFont="1" applyAlignment="1">
      <alignment horizontal="center" vertical="center" wrapText="1"/>
    </xf>
    <xf numFmtId="0" fontId="23" fillId="9" borderId="0" xfId="0" applyFont="1" applyFill="1" applyAlignment="1">
      <alignment horizontal="center" vertical="center" wrapText="1"/>
    </xf>
    <xf numFmtId="0" fontId="23" fillId="9" borderId="43" xfId="0" applyFont="1" applyFill="1" applyBorder="1" applyAlignment="1">
      <alignment horizontal="center" vertical="center" wrapText="1"/>
    </xf>
    <xf numFmtId="0" fontId="1" fillId="15" borderId="71" xfId="0" applyFont="1" applyFill="1" applyBorder="1" applyAlignment="1">
      <alignment horizontal="center"/>
    </xf>
    <xf numFmtId="3" fontId="3" fillId="21" borderId="74" xfId="0" applyNumberFormat="1" applyFont="1" applyFill="1" applyBorder="1" applyAlignment="1">
      <alignment horizontal="center"/>
    </xf>
    <xf numFmtId="3" fontId="3" fillId="21" borderId="7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2" borderId="7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49" fillId="14" borderId="5" xfId="0" applyNumberFormat="1" applyFont="1" applyFill="1" applyBorder="1" applyAlignment="1">
      <alignment horizontal="center"/>
    </xf>
    <xf numFmtId="2" fontId="49" fillId="17" borderId="32" xfId="0" applyNumberFormat="1" applyFont="1" applyFill="1" applyBorder="1" applyAlignment="1">
      <alignment horizontal="center"/>
    </xf>
    <xf numFmtId="2" fontId="49" fillId="17" borderId="33" xfId="0" applyNumberFormat="1" applyFont="1" applyFill="1" applyBorder="1" applyAlignment="1">
      <alignment horizontal="center"/>
    </xf>
    <xf numFmtId="2" fontId="1" fillId="16" borderId="32" xfId="0" applyNumberFormat="1" applyFont="1" applyFill="1" applyBorder="1" applyAlignment="1">
      <alignment horizontal="center"/>
    </xf>
    <xf numFmtId="2" fontId="1" fillId="16" borderId="33" xfId="0" applyNumberFormat="1" applyFont="1" applyFill="1" applyBorder="1" applyAlignment="1">
      <alignment horizontal="center"/>
    </xf>
    <xf numFmtId="2" fontId="49" fillId="14" borderId="32" xfId="0" applyNumberFormat="1" applyFont="1" applyFill="1" applyBorder="1" applyAlignment="1">
      <alignment horizontal="center"/>
    </xf>
    <xf numFmtId="2" fontId="49" fillId="14" borderId="33" xfId="0" applyNumberFormat="1" applyFont="1" applyFill="1" applyBorder="1" applyAlignment="1">
      <alignment horizontal="center"/>
    </xf>
    <xf numFmtId="2" fontId="49" fillId="13" borderId="32" xfId="0" applyNumberFormat="1" applyFont="1" applyFill="1" applyBorder="1" applyAlignment="1">
      <alignment horizontal="center"/>
    </xf>
    <xf numFmtId="2" fontId="49" fillId="13" borderId="38" xfId="0" applyNumberFormat="1" applyFont="1" applyFill="1" applyBorder="1" applyAlignment="1">
      <alignment horizontal="center"/>
    </xf>
    <xf numFmtId="2" fontId="49" fillId="14" borderId="38" xfId="0" applyNumberFormat="1" applyFont="1" applyFill="1" applyBorder="1" applyAlignment="1">
      <alignment horizontal="center"/>
    </xf>
    <xf numFmtId="2" fontId="49" fillId="15" borderId="38" xfId="0" applyNumberFormat="1" applyFont="1" applyFill="1" applyBorder="1" applyAlignment="1">
      <alignment horizontal="center"/>
    </xf>
    <xf numFmtId="2" fontId="1" fillId="16" borderId="38" xfId="0" applyNumberFormat="1" applyFont="1" applyFill="1" applyBorder="1" applyAlignment="1">
      <alignment horizontal="center"/>
    </xf>
    <xf numFmtId="2" fontId="49" fillId="13" borderId="33" xfId="0" applyNumberFormat="1" applyFont="1" applyFill="1" applyBorder="1" applyAlignment="1">
      <alignment horizontal="center"/>
    </xf>
    <xf numFmtId="2" fontId="49" fillId="14" borderId="34" xfId="0" applyNumberFormat="1" applyFont="1" applyFill="1" applyBorder="1" applyAlignment="1">
      <alignment horizontal="center"/>
    </xf>
    <xf numFmtId="2" fontId="49" fillId="14" borderId="35" xfId="0" applyNumberFormat="1" applyFont="1" applyFill="1" applyBorder="1" applyAlignment="1">
      <alignment horizontal="center"/>
    </xf>
    <xf numFmtId="2" fontId="1" fillId="16" borderId="34" xfId="0" applyNumberFormat="1" applyFont="1" applyFill="1" applyBorder="1" applyAlignment="1">
      <alignment horizontal="center"/>
    </xf>
    <xf numFmtId="2" fontId="1" fillId="16" borderId="35" xfId="0" applyNumberFormat="1" applyFont="1" applyFill="1" applyBorder="1" applyAlignment="1">
      <alignment horizontal="center"/>
    </xf>
    <xf numFmtId="2" fontId="49" fillId="17" borderId="34" xfId="0" applyNumberFormat="1" applyFont="1" applyFill="1" applyBorder="1" applyAlignment="1">
      <alignment horizontal="center"/>
    </xf>
    <xf numFmtId="2" fontId="49" fillId="17" borderId="35" xfId="0" applyNumberFormat="1" applyFont="1" applyFill="1" applyBorder="1" applyAlignment="1">
      <alignment horizontal="center"/>
    </xf>
    <xf numFmtId="2" fontId="49" fillId="14" borderId="0" xfId="0" applyNumberFormat="1" applyFont="1" applyFill="1" applyAlignment="1">
      <alignment horizontal="center"/>
    </xf>
    <xf numFmtId="2" fontId="49" fillId="15" borderId="0" xfId="0" applyNumberFormat="1" applyFont="1" applyFill="1" applyAlignment="1">
      <alignment horizontal="center"/>
    </xf>
    <xf numFmtId="2" fontId="1" fillId="16" borderId="0" xfId="0" applyNumberFormat="1" applyFont="1" applyFill="1" applyAlignment="1">
      <alignment horizontal="center"/>
    </xf>
    <xf numFmtId="2" fontId="49" fillId="13" borderId="34" xfId="0" applyNumberFormat="1" applyFont="1" applyFill="1" applyBorder="1" applyAlignment="1">
      <alignment horizontal="center"/>
    </xf>
    <xf numFmtId="2" fontId="49" fillId="13" borderId="35" xfId="0" applyNumberFormat="1" applyFont="1" applyFill="1" applyBorder="1" applyAlignment="1">
      <alignment horizontal="center"/>
    </xf>
    <xf numFmtId="3" fontId="3" fillId="21" borderId="0" xfId="0" applyNumberFormat="1" applyFont="1" applyFill="1" applyAlignment="1">
      <alignment horizontal="center"/>
    </xf>
    <xf numFmtId="2" fontId="49" fillId="13" borderId="0" xfId="0" applyNumberFormat="1" applyFont="1" applyFill="1" applyAlignment="1">
      <alignment horizontal="center"/>
    </xf>
    <xf numFmtId="2" fontId="49" fillId="14" borderId="6" xfId="0" applyNumberFormat="1" applyFont="1" applyFill="1" applyBorder="1" applyAlignment="1">
      <alignment horizontal="center"/>
    </xf>
    <xf numFmtId="2" fontId="49" fillId="14" borderId="15" xfId="0" applyNumberFormat="1" applyFont="1" applyFill="1" applyBorder="1" applyAlignment="1">
      <alignment horizontal="center"/>
    </xf>
    <xf numFmtId="2" fontId="49" fillId="14" borderId="4" xfId="0" applyNumberFormat="1" applyFont="1" applyFill="1" applyBorder="1" applyAlignment="1">
      <alignment horizontal="center"/>
    </xf>
    <xf numFmtId="3" fontId="3" fillId="21" borderId="76" xfId="0" applyNumberFormat="1" applyFont="1" applyFill="1" applyBorder="1" applyAlignment="1">
      <alignment horizontal="center"/>
    </xf>
    <xf numFmtId="2" fontId="49" fillId="13" borderId="69" xfId="0" applyNumberFormat="1" applyFont="1" applyFill="1" applyBorder="1" applyAlignment="1">
      <alignment horizontal="center"/>
    </xf>
    <xf numFmtId="2" fontId="49" fillId="13" borderId="44" xfId="0" applyNumberFormat="1" applyFont="1" applyFill="1" applyBorder="1" applyAlignment="1">
      <alignment horizontal="center"/>
    </xf>
    <xf numFmtId="0" fontId="1" fillId="22" borderId="44" xfId="0" applyFont="1" applyFill="1" applyBorder="1" applyAlignment="1">
      <alignment horizontal="center"/>
    </xf>
    <xf numFmtId="0" fontId="1" fillId="22" borderId="73" xfId="0" applyFont="1" applyFill="1" applyBorder="1" applyAlignment="1">
      <alignment horizontal="center"/>
    </xf>
    <xf numFmtId="0" fontId="1" fillId="15" borderId="44" xfId="0" applyFont="1" applyFill="1" applyBorder="1" applyAlignment="1">
      <alignment horizontal="center"/>
    </xf>
    <xf numFmtId="0" fontId="1" fillId="15" borderId="73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44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54">
    <dxf>
      <font>
        <color rgb="FF00B050"/>
      </font>
    </dxf>
    <dxf>
      <font>
        <b/>
        <i/>
        <strike val="0"/>
      </font>
      <fill>
        <patternFill patternType="solid"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</dxf>
    <dxf>
      <font>
        <b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FFFF00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</dxf>
    <dxf>
      <font>
        <b/>
      </font>
      <numFmt numFmtId="3" formatCode="#,##0"/>
    </dxf>
    <dxf>
      <font>
        <b/>
      </font>
      <numFmt numFmtId="3" formatCode="#,##0"/>
    </dxf>
    <dxf>
      <font>
        <b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rgb="FF000000"/>
          <bgColor rgb="FFDBDBDB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89E3B8"/>
      <color rgb="FFCC3399"/>
      <color rgb="FFFFD071"/>
      <color rgb="FFFF9900"/>
      <color rgb="FFC4BF00"/>
      <color rgb="FFFD23ED"/>
      <color rgb="FFD7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Finaler Stand</a:t>
            </a:r>
          </a:p>
          <a:p>
            <a:pPr>
              <a:defRPr/>
            </a:pPr>
            <a:r>
              <a:rPr lang="de-DE">
                <a:solidFill>
                  <a:sysClr val="windowText" lastClr="000000"/>
                </a:solidFill>
              </a:rPr>
              <a:t>€</a:t>
            </a:r>
          </a:p>
        </c:rich>
      </c:tx>
      <c:layout>
        <c:manualLayout>
          <c:xMode val="edge"/>
          <c:yMode val="edge"/>
          <c:x val="4.0281046571650728E-2"/>
          <c:y val="1.32587176990971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0805541273050116E-2"/>
          <c:y val="0.10467574213818567"/>
          <c:w val="0.8597564327361924"/>
          <c:h val="0.84057786599713435"/>
        </c:manualLayout>
      </c:layout>
      <c:lineChart>
        <c:grouping val="standard"/>
        <c:varyColors val="0"/>
        <c:ser>
          <c:idx val="4"/>
          <c:order val="0"/>
          <c:tx>
            <c:v>€ Thorwal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'Übersicht &amp; Anleitung'!$W$50:$W$71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80A0-4E24-84D9-F27E1528FAC6}"/>
            </c:ext>
          </c:extLst>
        </c:ser>
        <c:ser>
          <c:idx val="5"/>
          <c:order val="1"/>
          <c:tx>
            <c:v>€ Werkzeuge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'Übersicht &amp; Anleitung'!$N$50:$N$71</c:f>
              <c:numCache>
                <c:formatCode>#,##0\ "€"</c:formatCode>
                <c:ptCount val="22"/>
                <c:pt idx="0">
                  <c:v>0</c:v>
                </c:pt>
                <c:pt idx="1">
                  <c:v>43437</c:v>
                </c:pt>
                <c:pt idx="2">
                  <c:v>49522</c:v>
                </c:pt>
                <c:pt idx="3">
                  <c:v>53901</c:v>
                </c:pt>
                <c:pt idx="4">
                  <c:v>59963</c:v>
                </c:pt>
                <c:pt idx="5">
                  <c:v>63115</c:v>
                </c:pt>
                <c:pt idx="6">
                  <c:v>65148</c:v>
                </c:pt>
                <c:pt idx="7">
                  <c:v>69623</c:v>
                </c:pt>
                <c:pt idx="8">
                  <c:v>72783</c:v>
                </c:pt>
                <c:pt idx="9">
                  <c:v>76597</c:v>
                </c:pt>
                <c:pt idx="10">
                  <c:v>81327</c:v>
                </c:pt>
                <c:pt idx="11">
                  <c:v>83062</c:v>
                </c:pt>
                <c:pt idx="12">
                  <c:v>86154</c:v>
                </c:pt>
                <c:pt idx="13">
                  <c:v>89062</c:v>
                </c:pt>
                <c:pt idx="14">
                  <c:v>93109</c:v>
                </c:pt>
                <c:pt idx="15">
                  <c:v>97466</c:v>
                </c:pt>
                <c:pt idx="16">
                  <c:v>103452</c:v>
                </c:pt>
                <c:pt idx="17">
                  <c:v>109547</c:v>
                </c:pt>
                <c:pt idx="18">
                  <c:v>115420</c:v>
                </c:pt>
                <c:pt idx="19">
                  <c:v>123542</c:v>
                </c:pt>
                <c:pt idx="20">
                  <c:v>130324</c:v>
                </c:pt>
                <c:pt idx="21">
                  <c:v>170701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0-4E24-84D9-F27E1528FAC6}"/>
            </c:ext>
          </c:extLst>
        </c:ser>
        <c:ser>
          <c:idx val="1"/>
          <c:order val="2"/>
          <c:tx>
            <c:v>€ Sonnenküste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4BF00"/>
              </a:solidFill>
              <a:ln w="9525">
                <a:solidFill>
                  <a:srgbClr val="C4BF00"/>
                </a:solidFill>
              </a:ln>
              <a:effectLst/>
            </c:spPr>
          </c:marker>
          <c:val>
            <c:numRef>
              <c:f>'Übersicht &amp; Anleitung'!$X$50:$X$71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32-8772-4CB5-9B41-96C9281176D7}"/>
            </c:ext>
          </c:extLst>
        </c:ser>
        <c:ser>
          <c:idx val="6"/>
          <c:order val="3"/>
          <c:tx>
            <c:v>€ Rohals Erben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'Übersicht &amp; Anleitung'!$AA$50:$AA$71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33-8772-4CB5-9B41-96C9281176D7}"/>
            </c:ext>
          </c:extLst>
        </c:ser>
        <c:ser>
          <c:idx val="10"/>
          <c:order val="5"/>
          <c:tx>
            <c:v>€ Winterwacht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val>
            <c:numRef>
              <c:f>'Übersicht &amp; Anleitung'!$Y$50:$Y$71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35-8772-4CB5-9B41-96C9281176D7}"/>
            </c:ext>
          </c:extLst>
        </c:ser>
        <c:ser>
          <c:idx val="11"/>
          <c:order val="6"/>
          <c:tx>
            <c:v>€ DSK Fasar</c:v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val>
            <c:numRef>
              <c:f>'Übersicht &amp; Anleitung'!$P$50:$P$71</c:f>
              <c:numCache>
                <c:formatCode>#,##0\ "€"</c:formatCode>
                <c:ptCount val="22"/>
                <c:pt idx="0">
                  <c:v>0</c:v>
                </c:pt>
                <c:pt idx="1">
                  <c:v>36402</c:v>
                </c:pt>
                <c:pt idx="2">
                  <c:v>42659</c:v>
                </c:pt>
                <c:pt idx="3">
                  <c:v>45273</c:v>
                </c:pt>
                <c:pt idx="4">
                  <c:v>47957</c:v>
                </c:pt>
                <c:pt idx="5">
                  <c:v>50763</c:v>
                </c:pt>
                <c:pt idx="6">
                  <c:v>53829</c:v>
                </c:pt>
                <c:pt idx="7">
                  <c:v>55981</c:v>
                </c:pt>
                <c:pt idx="8">
                  <c:v>58795</c:v>
                </c:pt>
                <c:pt idx="9">
                  <c:v>63300</c:v>
                </c:pt>
                <c:pt idx="10">
                  <c:v>66650</c:v>
                </c:pt>
                <c:pt idx="11">
                  <c:v>69668</c:v>
                </c:pt>
                <c:pt idx="12">
                  <c:v>71286</c:v>
                </c:pt>
                <c:pt idx="13">
                  <c:v>74079</c:v>
                </c:pt>
                <c:pt idx="14">
                  <c:v>75411</c:v>
                </c:pt>
                <c:pt idx="15">
                  <c:v>77016</c:v>
                </c:pt>
                <c:pt idx="16">
                  <c:v>80049</c:v>
                </c:pt>
                <c:pt idx="17">
                  <c:v>86833</c:v>
                </c:pt>
                <c:pt idx="18">
                  <c:v>91974</c:v>
                </c:pt>
                <c:pt idx="19">
                  <c:v>101170</c:v>
                </c:pt>
                <c:pt idx="20">
                  <c:v>108862</c:v>
                </c:pt>
                <c:pt idx="21">
                  <c:v>123694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5345-4F43-98B1-37A1277838B4}"/>
            </c:ext>
          </c:extLst>
        </c:ser>
        <c:ser>
          <c:idx val="12"/>
          <c:order val="7"/>
          <c:tx>
            <c:v>€ DSK Schleichender Verfall</c:v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'Übersicht &amp; Anleitung'!$Q$50:$Q$71</c:f>
              <c:numCache>
                <c:formatCode>#,##0\ "€"</c:formatCode>
                <c:ptCount val="22"/>
                <c:pt idx="0">
                  <c:v>0</c:v>
                </c:pt>
                <c:pt idx="1">
                  <c:v>26725</c:v>
                </c:pt>
                <c:pt idx="2">
                  <c:v>32416</c:v>
                </c:pt>
                <c:pt idx="3">
                  <c:v>38191</c:v>
                </c:pt>
                <c:pt idx="4">
                  <c:v>41597</c:v>
                </c:pt>
                <c:pt idx="5">
                  <c:v>44358</c:v>
                </c:pt>
                <c:pt idx="6">
                  <c:v>45558</c:v>
                </c:pt>
                <c:pt idx="7">
                  <c:v>50019</c:v>
                </c:pt>
                <c:pt idx="8">
                  <c:v>54482</c:v>
                </c:pt>
                <c:pt idx="9">
                  <c:v>60464</c:v>
                </c:pt>
                <c:pt idx="10">
                  <c:v>62608</c:v>
                </c:pt>
                <c:pt idx="11">
                  <c:v>63707</c:v>
                </c:pt>
                <c:pt idx="12">
                  <c:v>66094</c:v>
                </c:pt>
                <c:pt idx="13">
                  <c:v>68288</c:v>
                </c:pt>
                <c:pt idx="14">
                  <c:v>71648</c:v>
                </c:pt>
                <c:pt idx="15">
                  <c:v>75191</c:v>
                </c:pt>
                <c:pt idx="16">
                  <c:v>78668</c:v>
                </c:pt>
                <c:pt idx="17">
                  <c:v>83940</c:v>
                </c:pt>
                <c:pt idx="18">
                  <c:v>87091</c:v>
                </c:pt>
                <c:pt idx="19">
                  <c:v>91598</c:v>
                </c:pt>
                <c:pt idx="20">
                  <c:v>99702</c:v>
                </c:pt>
                <c:pt idx="21">
                  <c:v>115113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5345-4F43-98B1-37A1277838B4}"/>
            </c:ext>
          </c:extLst>
        </c:ser>
        <c:ser>
          <c:idx val="13"/>
          <c:order val="8"/>
          <c:tx>
            <c:v>€ DSK Refurbished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'Übersicht &amp; Anleitung'!$R$50:$R$71</c:f>
              <c:numCache>
                <c:formatCode>#,##0\ "€"</c:formatCode>
                <c:ptCount val="22"/>
                <c:pt idx="0">
                  <c:v>0</c:v>
                </c:pt>
                <c:pt idx="1">
                  <c:v>8357</c:v>
                </c:pt>
                <c:pt idx="2">
                  <c:v>11433</c:v>
                </c:pt>
                <c:pt idx="3">
                  <c:v>13158</c:v>
                </c:pt>
                <c:pt idx="4">
                  <c:v>14235</c:v>
                </c:pt>
                <c:pt idx="5">
                  <c:v>15015</c:v>
                </c:pt>
                <c:pt idx="6">
                  <c:v>16237</c:v>
                </c:pt>
                <c:pt idx="7">
                  <c:v>16727</c:v>
                </c:pt>
                <c:pt idx="8">
                  <c:v>17672</c:v>
                </c:pt>
                <c:pt idx="9">
                  <c:v>17982</c:v>
                </c:pt>
                <c:pt idx="10">
                  <c:v>18530</c:v>
                </c:pt>
                <c:pt idx="11">
                  <c:v>19542</c:v>
                </c:pt>
                <c:pt idx="12">
                  <c:v>20594</c:v>
                </c:pt>
                <c:pt idx="13">
                  <c:v>20809</c:v>
                </c:pt>
                <c:pt idx="14">
                  <c:v>21426</c:v>
                </c:pt>
                <c:pt idx="15">
                  <c:v>22523</c:v>
                </c:pt>
                <c:pt idx="16">
                  <c:v>23503</c:v>
                </c:pt>
                <c:pt idx="17">
                  <c:v>23945</c:v>
                </c:pt>
                <c:pt idx="18">
                  <c:v>25263</c:v>
                </c:pt>
                <c:pt idx="19">
                  <c:v>26708</c:v>
                </c:pt>
                <c:pt idx="20">
                  <c:v>30138</c:v>
                </c:pt>
                <c:pt idx="21">
                  <c:v>36248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5345-4F43-98B1-37A1277838B4}"/>
            </c:ext>
          </c:extLst>
        </c:ser>
        <c:ser>
          <c:idx val="14"/>
          <c:order val="9"/>
          <c:tx>
            <c:v>€ Av. Nedime</c:v>
          </c:tx>
          <c:spPr>
            <a:ln w="28575" cap="rnd">
              <a:solidFill>
                <a:srgbClr val="CC33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3399"/>
              </a:solidFill>
              <a:ln w="9525">
                <a:solidFill>
                  <a:srgbClr val="CC3399"/>
                </a:solidFill>
              </a:ln>
              <a:effectLst/>
            </c:spPr>
          </c:marker>
          <c:val>
            <c:numRef>
              <c:f>'Übersicht &amp; Anleitung'!$S$50:$S$71</c:f>
              <c:numCache>
                <c:formatCode>#,##0\ "€"</c:formatCode>
                <c:ptCount val="22"/>
                <c:pt idx="0">
                  <c:v>0</c:v>
                </c:pt>
                <c:pt idx="1">
                  <c:v>14771</c:v>
                </c:pt>
                <c:pt idx="2">
                  <c:v>16764</c:v>
                </c:pt>
                <c:pt idx="3">
                  <c:v>17674</c:v>
                </c:pt>
                <c:pt idx="4">
                  <c:v>18881</c:v>
                </c:pt>
                <c:pt idx="5">
                  <c:v>21886</c:v>
                </c:pt>
                <c:pt idx="6">
                  <c:v>22571</c:v>
                </c:pt>
                <c:pt idx="7">
                  <c:v>24180</c:v>
                </c:pt>
                <c:pt idx="8">
                  <c:v>26679</c:v>
                </c:pt>
                <c:pt idx="9">
                  <c:v>27868</c:v>
                </c:pt>
                <c:pt idx="10">
                  <c:v>31587</c:v>
                </c:pt>
                <c:pt idx="11">
                  <c:v>34703</c:v>
                </c:pt>
                <c:pt idx="12">
                  <c:v>36986</c:v>
                </c:pt>
                <c:pt idx="13">
                  <c:v>37704</c:v>
                </c:pt>
                <c:pt idx="14">
                  <c:v>38541</c:v>
                </c:pt>
                <c:pt idx="15">
                  <c:v>40401</c:v>
                </c:pt>
                <c:pt idx="16">
                  <c:v>42277</c:v>
                </c:pt>
                <c:pt idx="17">
                  <c:v>44039</c:v>
                </c:pt>
                <c:pt idx="18">
                  <c:v>46661</c:v>
                </c:pt>
                <c:pt idx="19">
                  <c:v>49576</c:v>
                </c:pt>
                <c:pt idx="20">
                  <c:v>54612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5345-4F43-98B1-37A1277838B4}"/>
            </c:ext>
          </c:extLst>
        </c:ser>
        <c:ser>
          <c:idx val="15"/>
          <c:order val="10"/>
          <c:tx>
            <c:v>€ Av. Mythen &amp; Legenden</c:v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val>
            <c:numRef>
              <c:f>'Übersicht &amp; Anleitung'!$T$50:$T$71</c:f>
              <c:numCache>
                <c:formatCode>#,##0\ "€"</c:formatCode>
                <c:ptCount val="22"/>
                <c:pt idx="0">
                  <c:v>0</c:v>
                </c:pt>
                <c:pt idx="1">
                  <c:v>19612</c:v>
                </c:pt>
                <c:pt idx="2">
                  <c:v>24532</c:v>
                </c:pt>
                <c:pt idx="3">
                  <c:v>27671</c:v>
                </c:pt>
                <c:pt idx="4">
                  <c:v>30324</c:v>
                </c:pt>
                <c:pt idx="5">
                  <c:v>32621</c:v>
                </c:pt>
                <c:pt idx="6">
                  <c:v>37481</c:v>
                </c:pt>
                <c:pt idx="7">
                  <c:v>40223</c:v>
                </c:pt>
                <c:pt idx="8">
                  <c:v>43766</c:v>
                </c:pt>
                <c:pt idx="9">
                  <c:v>45971</c:v>
                </c:pt>
                <c:pt idx="10">
                  <c:v>48853</c:v>
                </c:pt>
                <c:pt idx="11">
                  <c:v>50284</c:v>
                </c:pt>
                <c:pt idx="12">
                  <c:v>54218</c:v>
                </c:pt>
                <c:pt idx="13">
                  <c:v>55585</c:v>
                </c:pt>
                <c:pt idx="14">
                  <c:v>57658</c:v>
                </c:pt>
                <c:pt idx="15">
                  <c:v>59154</c:v>
                </c:pt>
                <c:pt idx="16">
                  <c:v>61842</c:v>
                </c:pt>
                <c:pt idx="17">
                  <c:v>64258</c:v>
                </c:pt>
                <c:pt idx="18">
                  <c:v>66749</c:v>
                </c:pt>
                <c:pt idx="19">
                  <c:v>71433</c:v>
                </c:pt>
                <c:pt idx="20">
                  <c:v>78993</c:v>
                </c:pt>
                <c:pt idx="21">
                  <c:v>89991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5345-4F43-98B1-37A1277838B4}"/>
            </c:ext>
          </c:extLst>
        </c:ser>
        <c:ser>
          <c:idx val="2"/>
          <c:order val="11"/>
          <c:tx>
            <c:v>€ Erste Schätzung max.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'Übersicht &amp; Anleitung'!$G$50:$G$71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Anleitung'!$M$50:$M$71</c:f>
              <c:numCache>
                <c:formatCode>#,##0\ "€"</c:formatCode>
                <c:ptCount val="22"/>
                <c:pt idx="0">
                  <c:v>0</c:v>
                </c:pt>
                <c:pt idx="1">
                  <c:v>25960</c:v>
                </c:pt>
                <c:pt idx="2">
                  <c:v>35712</c:v>
                </c:pt>
                <c:pt idx="3">
                  <c:v>39341</c:v>
                </c:pt>
                <c:pt idx="4">
                  <c:v>43256</c:v>
                </c:pt>
                <c:pt idx="5">
                  <c:v>44966</c:v>
                </c:pt>
                <c:pt idx="6">
                  <c:v>46520</c:v>
                </c:pt>
                <c:pt idx="7">
                  <c:v>48572</c:v>
                </c:pt>
                <c:pt idx="8">
                  <c:v>50335</c:v>
                </c:pt>
                <c:pt idx="9">
                  <c:v>51635</c:v>
                </c:pt>
                <c:pt idx="10">
                  <c:v>53657</c:v>
                </c:pt>
                <c:pt idx="11">
                  <c:v>55502</c:v>
                </c:pt>
                <c:pt idx="12">
                  <c:v>57013</c:v>
                </c:pt>
                <c:pt idx="13">
                  <c:v>57853</c:v>
                </c:pt>
                <c:pt idx="14">
                  <c:v>59064</c:v>
                </c:pt>
                <c:pt idx="15">
                  <c:v>60362</c:v>
                </c:pt>
                <c:pt idx="16">
                  <c:v>61360</c:v>
                </c:pt>
                <c:pt idx="17">
                  <c:v>67559.88497108678</c:v>
                </c:pt>
                <c:pt idx="18">
                  <c:v>72258.235300738481</c:v>
                </c:pt>
                <c:pt idx="19">
                  <c:v>80662.442581710478</c:v>
                </c:pt>
                <c:pt idx="20">
                  <c:v>87692.147062488701</c:v>
                </c:pt>
                <c:pt idx="21">
                  <c:v>101247.08425163361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A0-4E24-84D9-F27E1528FAC6}"/>
            </c:ext>
          </c:extLst>
        </c:ser>
        <c:ser>
          <c:idx val="3"/>
          <c:order val="12"/>
          <c:tx>
            <c:v>€ Erste Schätzung min.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'Übersicht &amp; Anleitung'!$G$50:$G$71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Anleitung'!$L$50:$L$71</c:f>
              <c:numCache>
                <c:formatCode>#,##0\ "€"</c:formatCode>
                <c:ptCount val="22"/>
                <c:pt idx="0">
                  <c:v>0</c:v>
                </c:pt>
                <c:pt idx="1">
                  <c:v>25960</c:v>
                </c:pt>
                <c:pt idx="2">
                  <c:v>35712</c:v>
                </c:pt>
                <c:pt idx="3">
                  <c:v>39341</c:v>
                </c:pt>
                <c:pt idx="4">
                  <c:v>43256</c:v>
                </c:pt>
                <c:pt idx="5">
                  <c:v>44966</c:v>
                </c:pt>
                <c:pt idx="6">
                  <c:v>46520</c:v>
                </c:pt>
                <c:pt idx="7">
                  <c:v>48572</c:v>
                </c:pt>
                <c:pt idx="8">
                  <c:v>50335</c:v>
                </c:pt>
                <c:pt idx="9">
                  <c:v>51635</c:v>
                </c:pt>
                <c:pt idx="10">
                  <c:v>53657</c:v>
                </c:pt>
                <c:pt idx="11">
                  <c:v>55502</c:v>
                </c:pt>
                <c:pt idx="12">
                  <c:v>57013</c:v>
                </c:pt>
                <c:pt idx="13">
                  <c:v>57853</c:v>
                </c:pt>
                <c:pt idx="14">
                  <c:v>59064</c:v>
                </c:pt>
                <c:pt idx="15">
                  <c:v>60362</c:v>
                </c:pt>
                <c:pt idx="16">
                  <c:v>61360</c:v>
                </c:pt>
                <c:pt idx="17">
                  <c:v>61864.435390446917</c:v>
                </c:pt>
                <c:pt idx="18">
                  <c:v>63368.611509471892</c:v>
                </c:pt>
                <c:pt idx="19">
                  <c:v>65017.727209009892</c:v>
                </c:pt>
                <c:pt idx="20">
                  <c:v>68932.237139401128</c:v>
                </c:pt>
                <c:pt idx="21">
                  <c:v>75905.314595579097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A0-4E24-84D9-F27E1528FAC6}"/>
            </c:ext>
          </c:extLst>
        </c:ser>
        <c:ser>
          <c:idx val="0"/>
          <c:order val="15"/>
          <c:tx>
            <c:v>€ Mosaik der Märchen</c:v>
          </c:tx>
          <c:spPr>
            <a:ln w="28575" cap="rnd">
              <a:solidFill>
                <a:srgbClr val="89E3B8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89E3B8"/>
              </a:solidFill>
              <a:ln w="9525">
                <a:solidFill>
                  <a:srgbClr val="89E3B8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A0-4E24-84D9-F27E1528FAC6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A0-4E24-84D9-F27E1528FAC6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A0-4E24-84D9-F27E1528FAC6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A0-4E24-84D9-F27E1528FAC6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0A0-4E24-84D9-F27E1528FAC6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0A0-4E24-84D9-F27E1528FAC6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0A0-4E24-84D9-F27E1528FAC6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0A0-4E24-84D9-F27E1528FAC6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80A0-4E24-84D9-F27E1528FAC6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0A0-4E24-84D9-F27E1528FAC6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0A0-4E24-84D9-F27E1528FAC6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80A0-4E24-84D9-F27E1528FAC6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80A0-4E24-84D9-F27E1528FAC6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80A0-4E24-84D9-F27E1528FAC6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0A0-4E24-84D9-F27E1528FAC6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0A0-4E24-84D9-F27E1528FAC6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80A0-4E24-84D9-F27E1528FAC6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80A0-4E24-84D9-F27E1528FAC6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80A0-4E24-84D9-F27E1528FAC6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80A0-4E24-84D9-F27E1528FAC6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80A0-4E24-84D9-F27E1528FAC6}"/>
              </c:ext>
            </c:extLst>
          </c:dPt>
          <c:dPt>
            <c:idx val="22"/>
            <c:marker>
              <c:symbol val="diamond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80A0-4E24-84D9-F27E1528FAC6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80A0-4E24-84D9-F27E1528FAC6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80A0-4E24-84D9-F27E1528FAC6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80A0-4E24-84D9-F27E1528FAC6}"/>
              </c:ext>
            </c:extLst>
          </c:dPt>
          <c:cat>
            <c:numRef>
              <c:f>'Übersicht &amp; Anleitung'!$G$50:$G$71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Anleitung'!$I$50:$I$71</c:f>
              <c:numCache>
                <c:formatCode>#,##0\ "€"</c:formatCode>
                <c:ptCount val="22"/>
                <c:pt idx="0">
                  <c:v>0</c:v>
                </c:pt>
                <c:pt idx="1">
                  <c:v>25960</c:v>
                </c:pt>
                <c:pt idx="2">
                  <c:v>35712</c:v>
                </c:pt>
                <c:pt idx="3">
                  <c:v>39341</c:v>
                </c:pt>
                <c:pt idx="4">
                  <c:v>43256</c:v>
                </c:pt>
                <c:pt idx="5">
                  <c:v>44966</c:v>
                </c:pt>
                <c:pt idx="6">
                  <c:v>46520</c:v>
                </c:pt>
                <c:pt idx="7">
                  <c:v>48572</c:v>
                </c:pt>
                <c:pt idx="8">
                  <c:v>50335</c:v>
                </c:pt>
                <c:pt idx="9">
                  <c:v>51635</c:v>
                </c:pt>
                <c:pt idx="10">
                  <c:v>53657</c:v>
                </c:pt>
                <c:pt idx="11">
                  <c:v>55502</c:v>
                </c:pt>
                <c:pt idx="12">
                  <c:v>57013</c:v>
                </c:pt>
                <c:pt idx="13">
                  <c:v>57853</c:v>
                </c:pt>
                <c:pt idx="14">
                  <c:v>59064</c:v>
                </c:pt>
                <c:pt idx="15">
                  <c:v>60362</c:v>
                </c:pt>
                <c:pt idx="16">
                  <c:v>61360</c:v>
                </c:pt>
                <c:pt idx="17">
                  <c:v>63787</c:v>
                </c:pt>
                <c:pt idx="18">
                  <c:v>66341</c:v>
                </c:pt>
                <c:pt idx="19">
                  <c:v>71736</c:v>
                </c:pt>
                <c:pt idx="20">
                  <c:v>76619</c:v>
                </c:pt>
                <c:pt idx="21">
                  <c:v>84047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0A0-4E24-84D9-F27E1528F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41632"/>
        <c:axId val="514139008"/>
        <c:extLst>
          <c:ext xmlns:c15="http://schemas.microsoft.com/office/drawing/2012/chart" uri="{02D57815-91ED-43cb-92C2-25804820EDAC}">
            <c15:filteredLineSeries>
              <c15:ser>
                <c:idx val="9"/>
                <c:order val="4"/>
                <c:tx>
                  <c:v>€ Gunst der Göttin</c:v>
                </c:tx>
                <c:spPr>
                  <a:ln w="28575" cap="rnd">
                    <a:solidFill>
                      <a:srgbClr val="FD23ED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D23ED"/>
                    </a:solidFill>
                    <a:ln w="9525">
                      <a:solidFill>
                        <a:srgbClr val="FD23ED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'Übersicht &amp; Anleitung'!$O$50:$O$71</c15:sqref>
                        </c15:formulaRef>
                      </c:ext>
                    </c:extLst>
                    <c:numCache>
                      <c:formatCode>#,##0\ "€"</c:formatCode>
                      <c:ptCount val="22"/>
                      <c:pt idx="0">
                        <c:v>0</c:v>
                      </c:pt>
                      <c:pt idx="1">
                        <c:v>76466</c:v>
                      </c:pt>
                      <c:pt idx="2">
                        <c:v>100197</c:v>
                      </c:pt>
                      <c:pt idx="3">
                        <c:v>110488</c:v>
                      </c:pt>
                      <c:pt idx="4">
                        <c:v>117325</c:v>
                      </c:pt>
                      <c:pt idx="5">
                        <c:v>120368</c:v>
                      </c:pt>
                      <c:pt idx="6">
                        <c:v>123198</c:v>
                      </c:pt>
                      <c:pt idx="7">
                        <c:v>126713</c:v>
                      </c:pt>
                      <c:pt idx="8">
                        <c:v>130050</c:v>
                      </c:pt>
                      <c:pt idx="9">
                        <c:v>133215</c:v>
                      </c:pt>
                      <c:pt idx="10">
                        <c:v>136715</c:v>
                      </c:pt>
                      <c:pt idx="11">
                        <c:v>139670</c:v>
                      </c:pt>
                      <c:pt idx="12">
                        <c:v>143057</c:v>
                      </c:pt>
                      <c:pt idx="13">
                        <c:v>149744</c:v>
                      </c:pt>
                      <c:pt idx="14">
                        <c:v>155980</c:v>
                      </c:pt>
                      <c:pt idx="15">
                        <c:v>165152</c:v>
                      </c:pt>
                      <c:pt idx="16">
                        <c:v>174081</c:v>
                      </c:pt>
                      <c:pt idx="17">
                        <c:v>181054</c:v>
                      </c:pt>
                      <c:pt idx="18">
                        <c:v>187527</c:v>
                      </c:pt>
                      <c:pt idx="19">
                        <c:v>197700</c:v>
                      </c:pt>
                      <c:pt idx="20">
                        <c:v>205967</c:v>
                      </c:pt>
                      <c:pt idx="21">
                        <c:v>231430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34-8772-4CB5-9B41-96C9281176D7}"/>
                  </c:ext>
                </c:extLst>
              </c15:ser>
            </c15:filteredLineSeries>
            <c15:filteredLineSeries>
              <c15:ser>
                <c:idx val="7"/>
                <c:order val="13"/>
                <c:tx>
                  <c:v>€ Prognose max.</c:v>
                </c:tx>
                <c:spPr>
                  <a:ln w="28575" cap="rnd">
                    <a:solidFill>
                      <a:srgbClr val="00B05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'Übersicht &amp; Anleitung'!$K$50:$K$71</c15:sqref>
                        </c15:formulaRef>
                      </c:ext>
                    </c:extLst>
                    <c:numCache>
                      <c:formatCode>#,##0\ "€"</c:formatCode>
                      <c:ptCount val="2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8-80A0-4E24-84D9-F27E1528FAC6}"/>
                  </c:ext>
                </c:extLst>
              </c15:ser>
            </c15:filteredLineSeries>
            <c15:filteredLineSeries>
              <c15:ser>
                <c:idx val="8"/>
                <c:order val="14"/>
                <c:tx>
                  <c:v>€ Prognose min.</c:v>
                </c:tx>
                <c:spPr>
                  <a:ln w="28575" cap="rnd">
                    <a:solidFill>
                      <a:srgbClr val="FF000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'Übersicht &amp; Anleitung'!$J$50:$J$71</c15:sqref>
                        </c15:formulaRef>
                      </c:ext>
                    </c:extLst>
                    <c:numCache>
                      <c:formatCode>#,##0\ "€"</c:formatCode>
                      <c:ptCount val="2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9-80A0-4E24-84D9-F27E1528FAC6}"/>
                  </c:ext>
                </c:extLst>
              </c15:ser>
            </c15:filteredLineSeries>
          </c:ext>
        </c:extLst>
      </c:lineChart>
      <c:catAx>
        <c:axId val="5141416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39008"/>
        <c:crosses val="autoZero"/>
        <c:auto val="0"/>
        <c:lblAlgn val="ctr"/>
        <c:lblOffset val="100"/>
        <c:noMultiLvlLbl val="0"/>
      </c:catAx>
      <c:valAx>
        <c:axId val="514139008"/>
        <c:scaling>
          <c:orientation val="minMax"/>
          <c:max val="1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\ &quot;T€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41632"/>
        <c:crossesAt val="43874"/>
        <c:crossBetween val="midCat"/>
        <c:majorUnit val="500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960715970822713"/>
          <c:y val="1.5639151688508966E-2"/>
          <c:w val="0.79356809178399323"/>
          <c:h val="7.1124834885835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Finaler Stand</a:t>
            </a:r>
          </a:p>
          <a:p>
            <a:pPr>
              <a:defRPr/>
            </a:pPr>
            <a:r>
              <a:rPr lang="de-DE">
                <a:solidFill>
                  <a:sysClr val="windowText" lastClr="000000"/>
                </a:solidFill>
              </a:rPr>
              <a:t>Backer</a:t>
            </a:r>
          </a:p>
        </c:rich>
      </c:tx>
      <c:layout>
        <c:manualLayout>
          <c:xMode val="edge"/>
          <c:yMode val="edge"/>
          <c:x val="3.0453674649409502E-2"/>
          <c:y val="8.913713428676604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0805541273050116E-2"/>
          <c:y val="0.10467574213818567"/>
          <c:w val="0.8597564327361924"/>
          <c:h val="0.84492288813297134"/>
        </c:manualLayout>
      </c:layout>
      <c:lineChart>
        <c:grouping val="standard"/>
        <c:varyColors val="0"/>
        <c:ser>
          <c:idx val="4"/>
          <c:order val="0"/>
          <c:tx>
            <c:v>Backer Thorwal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'Übersicht &amp; Anleitung'!$W$79:$W$100</c:f>
            </c:numRef>
          </c:val>
          <c:smooth val="0"/>
          <c:extLst>
            <c:ext xmlns:c16="http://schemas.microsoft.com/office/drawing/2014/chart" uri="{C3380CC4-5D6E-409C-BE32-E72D297353CC}">
              <c16:uniqueId val="{00000000-F090-4B47-B039-C2E9452AA03A}"/>
            </c:ext>
          </c:extLst>
        </c:ser>
        <c:ser>
          <c:idx val="5"/>
          <c:order val="1"/>
          <c:tx>
            <c:v>Backer Werkzeuge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'Übersicht &amp; Anleitung'!$N$79:$N$100</c:f>
              <c:numCache>
                <c:formatCode>#,##0</c:formatCode>
                <c:ptCount val="22"/>
                <c:pt idx="0">
                  <c:v>0</c:v>
                </c:pt>
                <c:pt idx="1">
                  <c:v>179</c:v>
                </c:pt>
                <c:pt idx="2">
                  <c:v>206</c:v>
                </c:pt>
                <c:pt idx="3">
                  <c:v>224</c:v>
                </c:pt>
                <c:pt idx="4">
                  <c:v>247</c:v>
                </c:pt>
                <c:pt idx="5">
                  <c:v>264</c:v>
                </c:pt>
                <c:pt idx="6">
                  <c:v>274</c:v>
                </c:pt>
                <c:pt idx="7">
                  <c:v>295</c:v>
                </c:pt>
                <c:pt idx="8">
                  <c:v>308</c:v>
                </c:pt>
                <c:pt idx="9">
                  <c:v>329</c:v>
                </c:pt>
                <c:pt idx="10">
                  <c:v>350</c:v>
                </c:pt>
                <c:pt idx="11">
                  <c:v>356</c:v>
                </c:pt>
                <c:pt idx="12">
                  <c:v>371</c:v>
                </c:pt>
                <c:pt idx="13">
                  <c:v>386</c:v>
                </c:pt>
                <c:pt idx="14">
                  <c:v>403</c:v>
                </c:pt>
                <c:pt idx="15">
                  <c:v>422</c:v>
                </c:pt>
                <c:pt idx="16">
                  <c:v>445</c:v>
                </c:pt>
                <c:pt idx="17">
                  <c:v>471</c:v>
                </c:pt>
                <c:pt idx="18">
                  <c:v>501</c:v>
                </c:pt>
                <c:pt idx="19">
                  <c:v>537</c:v>
                </c:pt>
                <c:pt idx="20">
                  <c:v>576</c:v>
                </c:pt>
                <c:pt idx="21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0-4B47-B039-C2E9452AA03A}"/>
            </c:ext>
          </c:extLst>
        </c:ser>
        <c:ser>
          <c:idx val="1"/>
          <c:order val="2"/>
          <c:tx>
            <c:v>Backer Sonnenküste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4BF00"/>
              </a:solidFill>
              <a:ln w="9525">
                <a:solidFill>
                  <a:srgbClr val="C4BF00"/>
                </a:solidFill>
              </a:ln>
              <a:effectLst/>
            </c:spPr>
          </c:marker>
          <c:val>
            <c:numRef>
              <c:f>'Übersicht &amp; Anleitung'!$X$79:$X$100</c:f>
            </c:numRef>
          </c:val>
          <c:smooth val="0"/>
          <c:extLst>
            <c:ext xmlns:c16="http://schemas.microsoft.com/office/drawing/2014/chart" uri="{C3380CC4-5D6E-409C-BE32-E72D297353CC}">
              <c16:uniqueId val="{00000032-D13C-4DCF-A6E7-5437B880B125}"/>
            </c:ext>
          </c:extLst>
        </c:ser>
        <c:ser>
          <c:idx val="6"/>
          <c:order val="3"/>
          <c:tx>
            <c:v>Backer Rohals Erben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'Übersicht &amp; Anleitung'!$AA$79:$AA$100</c:f>
            </c:numRef>
          </c:val>
          <c:smooth val="0"/>
          <c:extLst>
            <c:ext xmlns:c16="http://schemas.microsoft.com/office/drawing/2014/chart" uri="{C3380CC4-5D6E-409C-BE32-E72D297353CC}">
              <c16:uniqueId val="{00000033-D13C-4DCF-A6E7-5437B880B125}"/>
            </c:ext>
          </c:extLst>
        </c:ser>
        <c:ser>
          <c:idx val="9"/>
          <c:order val="4"/>
          <c:tx>
            <c:v>Backer Gunst der Göttin</c:v>
          </c:tx>
          <c:spPr>
            <a:ln w="28575" cap="rnd">
              <a:solidFill>
                <a:srgbClr val="FD23E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D23ED"/>
              </a:solidFill>
              <a:ln w="9525">
                <a:solidFill>
                  <a:srgbClr val="FD23ED"/>
                </a:solidFill>
              </a:ln>
              <a:effectLst/>
            </c:spPr>
          </c:marker>
          <c:val>
            <c:numRef>
              <c:f>'Übersicht &amp; Anleitung'!$O$79:$O$100</c:f>
              <c:numCache>
                <c:formatCode>#,##0</c:formatCode>
                <c:ptCount val="22"/>
                <c:pt idx="0">
                  <c:v>0</c:v>
                </c:pt>
                <c:pt idx="1">
                  <c:v>317</c:v>
                </c:pt>
                <c:pt idx="2">
                  <c:v>417</c:v>
                </c:pt>
                <c:pt idx="3">
                  <c:v>458</c:v>
                </c:pt>
                <c:pt idx="4">
                  <c:v>486</c:v>
                </c:pt>
                <c:pt idx="5">
                  <c:v>497</c:v>
                </c:pt>
                <c:pt idx="6">
                  <c:v>508</c:v>
                </c:pt>
                <c:pt idx="7">
                  <c:v>523</c:v>
                </c:pt>
                <c:pt idx="8">
                  <c:v>539</c:v>
                </c:pt>
                <c:pt idx="9">
                  <c:v>551</c:v>
                </c:pt>
                <c:pt idx="10">
                  <c:v>565</c:v>
                </c:pt>
                <c:pt idx="11">
                  <c:v>582</c:v>
                </c:pt>
                <c:pt idx="12">
                  <c:v>598</c:v>
                </c:pt>
                <c:pt idx="13">
                  <c:v>624</c:v>
                </c:pt>
                <c:pt idx="14">
                  <c:v>650</c:v>
                </c:pt>
                <c:pt idx="15">
                  <c:v>690</c:v>
                </c:pt>
                <c:pt idx="16">
                  <c:v>729</c:v>
                </c:pt>
                <c:pt idx="17">
                  <c:v>757</c:v>
                </c:pt>
                <c:pt idx="18">
                  <c:v>781</c:v>
                </c:pt>
                <c:pt idx="19">
                  <c:v>827</c:v>
                </c:pt>
                <c:pt idx="20">
                  <c:v>863</c:v>
                </c:pt>
                <c:pt idx="21">
                  <c:v>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D13C-4DCF-A6E7-5437B880B125}"/>
            </c:ext>
          </c:extLst>
        </c:ser>
        <c:ser>
          <c:idx val="10"/>
          <c:order val="5"/>
          <c:tx>
            <c:v>Backer Winterwacht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val>
            <c:numRef>
              <c:f>'Übersicht &amp; Anleitung'!$Y$79:$Y$100</c:f>
            </c:numRef>
          </c:val>
          <c:smooth val="0"/>
          <c:extLst>
            <c:ext xmlns:c16="http://schemas.microsoft.com/office/drawing/2014/chart" uri="{C3380CC4-5D6E-409C-BE32-E72D297353CC}">
              <c16:uniqueId val="{00000035-D13C-4DCF-A6E7-5437B880B125}"/>
            </c:ext>
          </c:extLst>
        </c:ser>
        <c:ser>
          <c:idx val="11"/>
          <c:order val="6"/>
          <c:tx>
            <c:v>Backer DSK Fasar</c:v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val>
            <c:numRef>
              <c:f>'Übersicht &amp; Anleitung'!$P$79:$P$100</c:f>
              <c:numCache>
                <c:formatCode>#,##0</c:formatCode>
                <c:ptCount val="22"/>
                <c:pt idx="0">
                  <c:v>0</c:v>
                </c:pt>
                <c:pt idx="1">
                  <c:v>195</c:v>
                </c:pt>
                <c:pt idx="2">
                  <c:v>233</c:v>
                </c:pt>
                <c:pt idx="3">
                  <c:v>248</c:v>
                </c:pt>
                <c:pt idx="4">
                  <c:v>264</c:v>
                </c:pt>
                <c:pt idx="5">
                  <c:v>280</c:v>
                </c:pt>
                <c:pt idx="6">
                  <c:v>294</c:v>
                </c:pt>
                <c:pt idx="7">
                  <c:v>308</c:v>
                </c:pt>
                <c:pt idx="8">
                  <c:v>325</c:v>
                </c:pt>
                <c:pt idx="9">
                  <c:v>350</c:v>
                </c:pt>
                <c:pt idx="10">
                  <c:v>369</c:v>
                </c:pt>
                <c:pt idx="11">
                  <c:v>386</c:v>
                </c:pt>
                <c:pt idx="12">
                  <c:v>395</c:v>
                </c:pt>
                <c:pt idx="13">
                  <c:v>410</c:v>
                </c:pt>
                <c:pt idx="14">
                  <c:v>417</c:v>
                </c:pt>
                <c:pt idx="15">
                  <c:v>427</c:v>
                </c:pt>
                <c:pt idx="16">
                  <c:v>444</c:v>
                </c:pt>
                <c:pt idx="17">
                  <c:v>487</c:v>
                </c:pt>
                <c:pt idx="18">
                  <c:v>514</c:v>
                </c:pt>
                <c:pt idx="19">
                  <c:v>549</c:v>
                </c:pt>
                <c:pt idx="20">
                  <c:v>584</c:v>
                </c:pt>
                <c:pt idx="21">
                  <c:v>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8935-4DDB-A198-DE245B7BD8A0}"/>
            </c:ext>
          </c:extLst>
        </c:ser>
        <c:ser>
          <c:idx val="12"/>
          <c:order val="7"/>
          <c:tx>
            <c:v>Backer DSK Schleichender Verfall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val>
            <c:numRef>
              <c:f>'Übersicht &amp; Anleitung'!$Q$79:$Q$100</c:f>
              <c:numCache>
                <c:formatCode>#,##0</c:formatCode>
                <c:ptCount val="22"/>
                <c:pt idx="0">
                  <c:v>0</c:v>
                </c:pt>
                <c:pt idx="1">
                  <c:v>136</c:v>
                </c:pt>
                <c:pt idx="2">
                  <c:v>172</c:v>
                </c:pt>
                <c:pt idx="3">
                  <c:v>199</c:v>
                </c:pt>
                <c:pt idx="4">
                  <c:v>218</c:v>
                </c:pt>
                <c:pt idx="5">
                  <c:v>235</c:v>
                </c:pt>
                <c:pt idx="6">
                  <c:v>241</c:v>
                </c:pt>
                <c:pt idx="7">
                  <c:v>262</c:v>
                </c:pt>
                <c:pt idx="8">
                  <c:v>287</c:v>
                </c:pt>
                <c:pt idx="9">
                  <c:v>324</c:v>
                </c:pt>
                <c:pt idx="10">
                  <c:v>336</c:v>
                </c:pt>
                <c:pt idx="11">
                  <c:v>345</c:v>
                </c:pt>
                <c:pt idx="12">
                  <c:v>361</c:v>
                </c:pt>
                <c:pt idx="13">
                  <c:v>375</c:v>
                </c:pt>
                <c:pt idx="14">
                  <c:v>395</c:v>
                </c:pt>
                <c:pt idx="15">
                  <c:v>415</c:v>
                </c:pt>
                <c:pt idx="16">
                  <c:v>438</c:v>
                </c:pt>
                <c:pt idx="17">
                  <c:v>471</c:v>
                </c:pt>
                <c:pt idx="18">
                  <c:v>491</c:v>
                </c:pt>
                <c:pt idx="19">
                  <c:v>519</c:v>
                </c:pt>
                <c:pt idx="20">
                  <c:v>558</c:v>
                </c:pt>
                <c:pt idx="21">
                  <c:v>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8935-4DDB-A198-DE245B7BD8A0}"/>
            </c:ext>
          </c:extLst>
        </c:ser>
        <c:ser>
          <c:idx val="13"/>
          <c:order val="8"/>
          <c:tx>
            <c:v>Backer DSK Refurbished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'Übersicht &amp; Anleitung'!$R$79:$R$100</c:f>
              <c:numCache>
                <c:formatCode>#,##0</c:formatCode>
                <c:ptCount val="22"/>
                <c:pt idx="0">
                  <c:v>0</c:v>
                </c:pt>
                <c:pt idx="1">
                  <c:v>67</c:v>
                </c:pt>
                <c:pt idx="2">
                  <c:v>89</c:v>
                </c:pt>
                <c:pt idx="3">
                  <c:v>101</c:v>
                </c:pt>
                <c:pt idx="4">
                  <c:v>110</c:v>
                </c:pt>
                <c:pt idx="5">
                  <c:v>116</c:v>
                </c:pt>
                <c:pt idx="6">
                  <c:v>123</c:v>
                </c:pt>
                <c:pt idx="7">
                  <c:v>127</c:v>
                </c:pt>
                <c:pt idx="8">
                  <c:v>134</c:v>
                </c:pt>
                <c:pt idx="9">
                  <c:v>138</c:v>
                </c:pt>
                <c:pt idx="10">
                  <c:v>143</c:v>
                </c:pt>
                <c:pt idx="11">
                  <c:v>150</c:v>
                </c:pt>
                <c:pt idx="12">
                  <c:v>154</c:v>
                </c:pt>
                <c:pt idx="13">
                  <c:v>155</c:v>
                </c:pt>
                <c:pt idx="14">
                  <c:v>159</c:v>
                </c:pt>
                <c:pt idx="15">
                  <c:v>164</c:v>
                </c:pt>
                <c:pt idx="16">
                  <c:v>172</c:v>
                </c:pt>
                <c:pt idx="17">
                  <c:v>175</c:v>
                </c:pt>
                <c:pt idx="18">
                  <c:v>186</c:v>
                </c:pt>
                <c:pt idx="19">
                  <c:v>198</c:v>
                </c:pt>
                <c:pt idx="20">
                  <c:v>227</c:v>
                </c:pt>
                <c:pt idx="21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8935-4DDB-A198-DE245B7BD8A0}"/>
            </c:ext>
          </c:extLst>
        </c:ser>
        <c:ser>
          <c:idx val="14"/>
          <c:order val="9"/>
          <c:tx>
            <c:v>Backer Av. Nedime</c:v>
          </c:tx>
          <c:spPr>
            <a:ln w="28575" cap="rnd">
              <a:solidFill>
                <a:srgbClr val="CC33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3399"/>
              </a:solidFill>
              <a:ln w="9525">
                <a:solidFill>
                  <a:srgbClr val="CC3399"/>
                </a:solidFill>
              </a:ln>
              <a:effectLst/>
            </c:spPr>
          </c:marker>
          <c:val>
            <c:numRef>
              <c:f>'Übersicht &amp; Anleitung'!$S$79:$S$100</c:f>
              <c:numCache>
                <c:formatCode>#,##0</c:formatCode>
                <c:ptCount val="22"/>
                <c:pt idx="0">
                  <c:v>0</c:v>
                </c:pt>
                <c:pt idx="1">
                  <c:v>73</c:v>
                </c:pt>
                <c:pt idx="2">
                  <c:v>82</c:v>
                </c:pt>
                <c:pt idx="3">
                  <c:v>90</c:v>
                </c:pt>
                <c:pt idx="4">
                  <c:v>95</c:v>
                </c:pt>
                <c:pt idx="5">
                  <c:v>111</c:v>
                </c:pt>
                <c:pt idx="6">
                  <c:v>114.99999999999999</c:v>
                </c:pt>
                <c:pt idx="7">
                  <c:v>124</c:v>
                </c:pt>
                <c:pt idx="8">
                  <c:v>136</c:v>
                </c:pt>
                <c:pt idx="9">
                  <c:v>142</c:v>
                </c:pt>
                <c:pt idx="10">
                  <c:v>161</c:v>
                </c:pt>
                <c:pt idx="11">
                  <c:v>178</c:v>
                </c:pt>
                <c:pt idx="12">
                  <c:v>193</c:v>
                </c:pt>
                <c:pt idx="13">
                  <c:v>197</c:v>
                </c:pt>
                <c:pt idx="14">
                  <c:v>205</c:v>
                </c:pt>
                <c:pt idx="15">
                  <c:v>214</c:v>
                </c:pt>
                <c:pt idx="16">
                  <c:v>224</c:v>
                </c:pt>
                <c:pt idx="17">
                  <c:v>233</c:v>
                </c:pt>
                <c:pt idx="18">
                  <c:v>250</c:v>
                </c:pt>
                <c:pt idx="19">
                  <c:v>267</c:v>
                </c:pt>
                <c:pt idx="20">
                  <c:v>300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8935-4DDB-A198-DE245B7BD8A0}"/>
            </c:ext>
          </c:extLst>
        </c:ser>
        <c:ser>
          <c:idx val="15"/>
          <c:order val="10"/>
          <c:tx>
            <c:v>Backer Av. Mythen &amp; Legenden</c:v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val>
            <c:numRef>
              <c:f>'Übersicht &amp; Anleitung'!$T$79:$T$100</c:f>
              <c:numCache>
                <c:formatCode>#,##0</c:formatCode>
                <c:ptCount val="22"/>
                <c:pt idx="0">
                  <c:v>0</c:v>
                </c:pt>
                <c:pt idx="1">
                  <c:v>115</c:v>
                </c:pt>
                <c:pt idx="2">
                  <c:v>145</c:v>
                </c:pt>
                <c:pt idx="3">
                  <c:v>162</c:v>
                </c:pt>
                <c:pt idx="4">
                  <c:v>178</c:v>
                </c:pt>
                <c:pt idx="5">
                  <c:v>191</c:v>
                </c:pt>
                <c:pt idx="6">
                  <c:v>220</c:v>
                </c:pt>
                <c:pt idx="7">
                  <c:v>236</c:v>
                </c:pt>
                <c:pt idx="8">
                  <c:v>253</c:v>
                </c:pt>
                <c:pt idx="9">
                  <c:v>267</c:v>
                </c:pt>
                <c:pt idx="10">
                  <c:v>282</c:v>
                </c:pt>
                <c:pt idx="11">
                  <c:v>291</c:v>
                </c:pt>
                <c:pt idx="12">
                  <c:v>311</c:v>
                </c:pt>
                <c:pt idx="13">
                  <c:v>319</c:v>
                </c:pt>
                <c:pt idx="14">
                  <c:v>330</c:v>
                </c:pt>
                <c:pt idx="15">
                  <c:v>337</c:v>
                </c:pt>
                <c:pt idx="16">
                  <c:v>349</c:v>
                </c:pt>
                <c:pt idx="17">
                  <c:v>363</c:v>
                </c:pt>
                <c:pt idx="18">
                  <c:v>377</c:v>
                </c:pt>
                <c:pt idx="19">
                  <c:v>401</c:v>
                </c:pt>
                <c:pt idx="20">
                  <c:v>440</c:v>
                </c:pt>
                <c:pt idx="21">
                  <c:v>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935-4DDB-A198-DE245B7BD8A0}"/>
            </c:ext>
          </c:extLst>
        </c:ser>
        <c:ser>
          <c:idx val="2"/>
          <c:order val="11"/>
          <c:tx>
            <c:v>Backer Erste Schätzung max.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'Übersicht &amp; Anleitung'!$G$50:$G$71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Anleitung'!$M$79:$M$100</c:f>
              <c:numCache>
                <c:formatCode>#,##0</c:formatCode>
                <c:ptCount val="22"/>
                <c:pt idx="0">
                  <c:v>0</c:v>
                </c:pt>
                <c:pt idx="1">
                  <c:v>347</c:v>
                </c:pt>
                <c:pt idx="2">
                  <c:v>483</c:v>
                </c:pt>
                <c:pt idx="3">
                  <c:v>536</c:v>
                </c:pt>
                <c:pt idx="4">
                  <c:v>585</c:v>
                </c:pt>
                <c:pt idx="5">
                  <c:v>611</c:v>
                </c:pt>
                <c:pt idx="6">
                  <c:v>633</c:v>
                </c:pt>
                <c:pt idx="7">
                  <c:v>661</c:v>
                </c:pt>
                <c:pt idx="8">
                  <c:v>687</c:v>
                </c:pt>
                <c:pt idx="9">
                  <c:v>705</c:v>
                </c:pt>
                <c:pt idx="10">
                  <c:v>727</c:v>
                </c:pt>
                <c:pt idx="11">
                  <c:v>753</c:v>
                </c:pt>
                <c:pt idx="12">
                  <c:v>775</c:v>
                </c:pt>
                <c:pt idx="13">
                  <c:v>789</c:v>
                </c:pt>
                <c:pt idx="14">
                  <c:v>806</c:v>
                </c:pt>
                <c:pt idx="15">
                  <c:v>825</c:v>
                </c:pt>
                <c:pt idx="16">
                  <c:v>836</c:v>
                </c:pt>
                <c:pt idx="17">
                  <c:v>953</c:v>
                </c:pt>
                <c:pt idx="18">
                  <c:v>1027</c:v>
                </c:pt>
                <c:pt idx="19">
                  <c:v>1123</c:v>
                </c:pt>
                <c:pt idx="20">
                  <c:v>1219</c:v>
                </c:pt>
                <c:pt idx="21">
                  <c:v>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90-4B47-B039-C2E9452AA03A}"/>
            </c:ext>
          </c:extLst>
        </c:ser>
        <c:ser>
          <c:idx val="3"/>
          <c:order val="12"/>
          <c:tx>
            <c:v>Backer Erste Schätzung min.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'Übersicht &amp; Anleitung'!$G$50:$G$71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Anleitung'!$L$79:$L$100</c:f>
              <c:numCache>
                <c:formatCode>#,##0</c:formatCode>
                <c:ptCount val="22"/>
                <c:pt idx="0">
                  <c:v>0</c:v>
                </c:pt>
                <c:pt idx="1">
                  <c:v>347</c:v>
                </c:pt>
                <c:pt idx="2">
                  <c:v>483</c:v>
                </c:pt>
                <c:pt idx="3">
                  <c:v>536</c:v>
                </c:pt>
                <c:pt idx="4">
                  <c:v>585</c:v>
                </c:pt>
                <c:pt idx="5">
                  <c:v>611</c:v>
                </c:pt>
                <c:pt idx="6">
                  <c:v>633</c:v>
                </c:pt>
                <c:pt idx="7">
                  <c:v>661</c:v>
                </c:pt>
                <c:pt idx="8">
                  <c:v>687</c:v>
                </c:pt>
                <c:pt idx="9">
                  <c:v>705</c:v>
                </c:pt>
                <c:pt idx="10">
                  <c:v>727</c:v>
                </c:pt>
                <c:pt idx="11">
                  <c:v>753</c:v>
                </c:pt>
                <c:pt idx="12">
                  <c:v>775</c:v>
                </c:pt>
                <c:pt idx="13">
                  <c:v>789</c:v>
                </c:pt>
                <c:pt idx="14">
                  <c:v>806</c:v>
                </c:pt>
                <c:pt idx="15">
                  <c:v>825</c:v>
                </c:pt>
                <c:pt idx="16">
                  <c:v>836</c:v>
                </c:pt>
                <c:pt idx="17">
                  <c:v>842</c:v>
                </c:pt>
                <c:pt idx="18">
                  <c:v>864</c:v>
                </c:pt>
                <c:pt idx="19">
                  <c:v>888</c:v>
                </c:pt>
                <c:pt idx="20">
                  <c:v>946</c:v>
                </c:pt>
                <c:pt idx="21">
                  <c:v>1030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90-4B47-B039-C2E9452AA03A}"/>
            </c:ext>
          </c:extLst>
        </c:ser>
        <c:ser>
          <c:idx val="0"/>
          <c:order val="15"/>
          <c:tx>
            <c:v>Backer Mosaik der Märchen</c:v>
          </c:tx>
          <c:spPr>
            <a:ln w="28575" cap="rnd">
              <a:solidFill>
                <a:srgbClr val="89E3B8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89E3B8"/>
              </a:solidFill>
              <a:ln w="9525">
                <a:solidFill>
                  <a:srgbClr val="89E3B8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90-4B47-B039-C2E9452AA03A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90-4B47-B039-C2E9452AA03A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90-4B47-B039-C2E9452AA03A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90-4B47-B039-C2E9452AA03A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90-4B47-B039-C2E9452AA03A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090-4B47-B039-C2E9452AA03A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F090-4B47-B039-C2E9452AA03A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F090-4B47-B039-C2E9452AA03A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F090-4B47-B039-C2E9452AA03A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F090-4B47-B039-C2E9452AA03A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F090-4B47-B039-C2E9452AA03A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F090-4B47-B039-C2E9452AA03A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F090-4B47-B039-C2E9452AA03A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F090-4B47-B039-C2E9452AA03A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F090-4B47-B039-C2E9452AA03A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F090-4B47-B039-C2E9452AA03A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F090-4B47-B039-C2E9452AA03A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F090-4B47-B039-C2E9452AA03A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F090-4B47-B039-C2E9452AA03A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F090-4B47-B039-C2E9452AA03A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F090-4B47-B039-C2E9452AA03A}"/>
              </c:ext>
            </c:extLst>
          </c:dPt>
          <c:dPt>
            <c:idx val="22"/>
            <c:marker>
              <c:symbol val="diamond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F090-4B47-B039-C2E9452AA03A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F090-4B47-B039-C2E9452AA03A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F090-4B47-B039-C2E9452AA03A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rgbClr val="89E3B8"/>
                </a:solidFill>
                <a:ln w="9525">
                  <a:solidFill>
                    <a:srgbClr val="89E3B8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89E3B8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F090-4B47-B039-C2E9452AA03A}"/>
              </c:ext>
            </c:extLst>
          </c:dPt>
          <c:cat>
            <c:numRef>
              <c:f>'Übersicht &amp; Anleitung'!$G$50:$G$71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'Übersicht &amp; Anleitung'!$I$79:$I$100</c:f>
              <c:numCache>
                <c:formatCode>#,##0</c:formatCode>
                <c:ptCount val="22"/>
                <c:pt idx="0">
                  <c:v>0</c:v>
                </c:pt>
                <c:pt idx="1">
                  <c:v>347</c:v>
                </c:pt>
                <c:pt idx="2">
                  <c:v>483</c:v>
                </c:pt>
                <c:pt idx="3">
                  <c:v>536</c:v>
                </c:pt>
                <c:pt idx="4">
                  <c:v>585</c:v>
                </c:pt>
                <c:pt idx="5">
                  <c:v>611</c:v>
                </c:pt>
                <c:pt idx="6">
                  <c:v>633</c:v>
                </c:pt>
                <c:pt idx="7">
                  <c:v>661</c:v>
                </c:pt>
                <c:pt idx="8">
                  <c:v>687</c:v>
                </c:pt>
                <c:pt idx="9">
                  <c:v>705</c:v>
                </c:pt>
                <c:pt idx="10">
                  <c:v>727</c:v>
                </c:pt>
                <c:pt idx="11">
                  <c:v>753</c:v>
                </c:pt>
                <c:pt idx="12">
                  <c:v>775</c:v>
                </c:pt>
                <c:pt idx="13">
                  <c:v>789</c:v>
                </c:pt>
                <c:pt idx="14">
                  <c:v>806</c:v>
                </c:pt>
                <c:pt idx="15">
                  <c:v>825</c:v>
                </c:pt>
                <c:pt idx="16">
                  <c:v>836</c:v>
                </c:pt>
                <c:pt idx="17">
                  <c:v>865</c:v>
                </c:pt>
                <c:pt idx="18">
                  <c:v>892</c:v>
                </c:pt>
                <c:pt idx="19">
                  <c:v>973</c:v>
                </c:pt>
                <c:pt idx="20">
                  <c:v>1053</c:v>
                </c:pt>
                <c:pt idx="21">
                  <c:v>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F090-4B47-B039-C2E9452AA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41632"/>
        <c:axId val="514139008"/>
        <c:extLst>
          <c:ext xmlns:c15="http://schemas.microsoft.com/office/drawing/2012/chart" uri="{02D57815-91ED-43cb-92C2-25804820EDAC}">
            <c15:filteredLineSeries>
              <c15:ser>
                <c:idx val="8"/>
                <c:order val="13"/>
                <c:tx>
                  <c:v>Backer Prognose max.</c:v>
                </c:tx>
                <c:spPr>
                  <a:ln w="28575" cap="rnd">
                    <a:solidFill>
                      <a:srgbClr val="00B05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'Übersicht &amp; Anleitung'!$K$79:$K$100</c15:sqref>
                        </c15:formulaRef>
                      </c:ext>
                    </c:extLst>
                    <c:numCache>
                      <c:formatCode>#,##0</c:formatCode>
                      <c:ptCount val="2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3A-F090-4B47-B039-C2E9452AA03A}"/>
                  </c:ext>
                </c:extLst>
              </c15:ser>
            </c15:filteredLineSeries>
            <c15:filteredLineSeries>
              <c15:ser>
                <c:idx val="7"/>
                <c:order val="14"/>
                <c:tx>
                  <c:v>Backer Prognose min.</c:v>
                </c:tx>
                <c:spPr>
                  <a:ln w="28575" cap="rnd">
                    <a:solidFill>
                      <a:srgbClr val="FF000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'Übersicht &amp; Anleitung'!$J$79:$J$100</c15:sqref>
                        </c15:formulaRef>
                      </c:ext>
                    </c:extLst>
                    <c:numCache>
                      <c:formatCode>#,##0</c:formatCode>
                      <c:ptCount val="2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B-F090-4B47-B039-C2E9452AA03A}"/>
                  </c:ext>
                </c:extLst>
              </c15:ser>
            </c15:filteredLineSeries>
          </c:ext>
        </c:extLst>
      </c:lineChart>
      <c:catAx>
        <c:axId val="5141416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39008"/>
        <c:crosses val="autoZero"/>
        <c:auto val="0"/>
        <c:lblAlgn val="ctr"/>
        <c:lblOffset val="100"/>
        <c:noMultiLvlLbl val="0"/>
      </c:catAx>
      <c:valAx>
        <c:axId val="514139008"/>
        <c:scaling>
          <c:orientation val="minMax"/>
          <c:max val="14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41632"/>
        <c:crossesAt val="43874"/>
        <c:crossBetween val="midCat"/>
        <c:majorUnit val="5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81968135006653"/>
          <c:y val="7.5604929793808831E-3"/>
          <c:w val="0.80022302100389897"/>
          <c:h val="8.85311063413172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s://hinter-dem-schwarzen-auge.de/links/" TargetMode="External"/><Relationship Id="rId1" Type="http://schemas.openxmlformats.org/officeDocument/2006/relationships/chart" Target="../charts/chart1.xml"/><Relationship Id="rId6" Type="http://schemas.openxmlformats.org/officeDocument/2006/relationships/image" Target="../media/image2.jpg"/><Relationship Id="rId5" Type="http://schemas.openxmlformats.org/officeDocument/2006/relationships/hyperlink" Target="https://www.gameontabletop.com/cf2211/die-schwarze-katze-refurbished.html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79904</xdr:colOff>
      <xdr:row>105</xdr:row>
      <xdr:rowOff>152133</xdr:rowOff>
    </xdr:from>
    <xdr:to>
      <xdr:col>6</xdr:col>
      <xdr:colOff>0</xdr:colOff>
      <xdr:row>115</xdr:row>
      <xdr:rowOff>114299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07A7500-30D6-4373-9CF2-4BED0A125177}"/>
            </a:ext>
          </a:extLst>
        </xdr:cNvPr>
        <xdr:cNvSpPr txBox="1"/>
      </xdr:nvSpPr>
      <xdr:spPr>
        <a:xfrm>
          <a:off x="79904" y="19078308"/>
          <a:ext cx="11578696" cy="197194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 baseline="0"/>
            <a:t>Dieser Guide ist eine rein private Geschichte und </a:t>
          </a:r>
          <a:r>
            <a:rPr lang="de-DE" sz="1400" b="1" u="sng" baseline="0"/>
            <a:t>ohne Gewähr</a:t>
          </a:r>
          <a:r>
            <a:rPr lang="de-DE" sz="1400" b="1" baseline="0"/>
            <a:t> auf Vollständigkeit und 100%ige Korrektheit!</a:t>
          </a:r>
        </a:p>
        <a:p>
          <a:endParaRPr lang="de-DE" sz="1400" b="1" baseline="0"/>
        </a:p>
        <a:p>
          <a:r>
            <a:rPr lang="de-DE" sz="1400" b="1" baseline="0"/>
            <a:t>Danke an Kai (4 Helden und 1 Schelm) für seinen großartigen Crawler :)</a:t>
          </a:r>
        </a:p>
        <a:p>
          <a:endParaRPr lang="de-DE" sz="800" b="1" baseline="0"/>
        </a:p>
        <a:p>
          <a:r>
            <a:rPr lang="de-DE" sz="1400" b="1" baseline="0"/>
            <a:t>Bei Fehlern meinerseits ist NICHT Ulisses dafür verantwortlich zu machen! Und ich bitte auch nicht ;)</a:t>
          </a:r>
        </a:p>
        <a:p>
          <a:r>
            <a:rPr lang="de-DE" sz="1400" b="1" baseline="0"/>
            <a:t>Ihr dürft mir Fehler aber sehr gerne in den CF-Kommentaren, in meinem Blog oder Discord, bei Facebook oder im Orkenspalter-Forum melden!</a:t>
          </a:r>
        </a:p>
        <a:p>
          <a:endParaRPr lang="de-DE" sz="800" b="1" baseline="0"/>
        </a:p>
        <a:p>
          <a:r>
            <a:rPr lang="de-DE" sz="1400" b="1" baseline="0"/>
            <a:t>Und nun gemeinsam auf ins Abenteuer!</a:t>
          </a:r>
        </a:p>
        <a:p>
          <a:r>
            <a:rPr lang="de-DE" sz="1400" b="1"/>
            <a:t>Euer Gernot</a:t>
          </a:r>
          <a:r>
            <a:rPr lang="de-DE" sz="1400" b="1" baseline="0"/>
            <a:t> </a:t>
          </a:r>
          <a:r>
            <a:rPr lang="de-DE" sz="1400" b="1"/>
            <a:t>von Hinter dem Schwarzen Auge</a:t>
          </a:r>
          <a:r>
            <a:rPr lang="de-DE" sz="1400" b="1" baseline="0"/>
            <a:t> ...der DSA-Community-Podcast / DSA-Fantalk / DSA-Nachrichten in 3W20 Minuten / etc.    </a:t>
          </a:r>
          <a:r>
            <a:rPr lang="de-DE" sz="1400" b="1"/>
            <a:t>	</a:t>
          </a:r>
          <a:r>
            <a:rPr lang="de-DE" sz="300" b="1"/>
            <a:t>Wer das liest ist neugierig ;)</a:t>
          </a:r>
        </a:p>
      </xdr:txBody>
    </xdr:sp>
    <xdr:clientData/>
  </xdr:twoCellAnchor>
  <xdr:twoCellAnchor>
    <xdr:from>
      <xdr:col>1</xdr:col>
      <xdr:colOff>71436</xdr:colOff>
      <xdr:row>47</xdr:row>
      <xdr:rowOff>57150</xdr:rowOff>
    </xdr:from>
    <xdr:to>
      <xdr:col>6</xdr:col>
      <xdr:colOff>0</xdr:colOff>
      <xdr:row>76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B2D0A86-C198-4204-9484-076D79831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321467</xdr:colOff>
      <xdr:row>3</xdr:row>
      <xdr:rowOff>57149</xdr:rowOff>
    </xdr:from>
    <xdr:to>
      <xdr:col>5</xdr:col>
      <xdr:colOff>3400424</xdr:colOff>
      <xdr:row>16</xdr:row>
      <xdr:rowOff>9822</xdr:rowOff>
    </xdr:to>
    <xdr:pic>
      <xdr:nvPicPr>
        <xdr:cNvPr id="11" name="Grafik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8A0318-7B66-4012-91D1-6B3CBC0C9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6742" y="666749"/>
          <a:ext cx="3078957" cy="2848273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77</xdr:row>
      <xdr:rowOff>0</xdr:rowOff>
    </xdr:from>
    <xdr:to>
      <xdr:col>6</xdr:col>
      <xdr:colOff>0</xdr:colOff>
      <xdr:row>105</xdr:row>
      <xdr:rowOff>1323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880EF14B-9001-47D9-8E66-7A2FE928A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788849</xdr:colOff>
      <xdr:row>3</xdr:row>
      <xdr:rowOff>77155</xdr:rowOff>
    </xdr:from>
    <xdr:to>
      <xdr:col>3</xdr:col>
      <xdr:colOff>5011877</xdr:colOff>
      <xdr:row>15</xdr:row>
      <xdr:rowOff>244557</xdr:rowOff>
    </xdr:to>
    <xdr:pic>
      <xdr:nvPicPr>
        <xdr:cNvPr id="13" name="Grafik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964C3DA-CD53-43EB-8099-0CC07DD25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3324" y="696280"/>
          <a:ext cx="4223028" cy="28153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3B8C96C-0DD2-4C9B-A41A-27CE2A14BCAE}" name="Tabelle24" displayName="Tabelle24" ref="AU3:AX24" totalsRowShown="0" headerRowDxfId="53" dataDxfId="52" tableBorderDxfId="51">
  <autoFilter ref="AU3:AX24" xr:uid="{7E5D117A-5BCD-41C7-9378-1146F36C69B4}"/>
  <sortState xmlns:xlrd2="http://schemas.microsoft.com/office/spreadsheetml/2017/richdata2" ref="AU4:AX24">
    <sortCondition descending="1" ref="AV3:AV24"/>
  </sortState>
  <tableColumns count="4">
    <tableColumn id="1" xr3:uid="{4EFEC5B8-0ADA-41C3-A6A5-BE5BF3794F91}" name="Tag" dataDxfId="50"/>
    <tableColumn id="2" xr3:uid="{B346A844-85E3-4729-8E45-6E86A502164F}" name="€" dataDxfId="49">
      <calculatedColumnFormula>VLOOKUP(AU4,$AL$51:$AV$71,11,FALSE)</calculatedColumnFormula>
    </tableColumn>
    <tableColumn id="5" xr3:uid="{BFCBC06F-0657-4D18-A8CA-BD9389A4934E}" name="Backer" dataDxfId="48">
      <calculatedColumnFormula>VLOOKUP(AU4,$AL$51:$AU$71,10,FALSE)</calculatedColumnFormula>
    </tableColumn>
    <tableColumn id="3" xr3:uid="{6BAC2503-C3A5-4652-A49E-1500DE882AED}" name="€/Backer" dataDxfId="47">
      <calculatedColumnFormula>IFERROR(Tabelle24[[#This Row],[€]]/Tabelle24[[#This Row],[Backer]],"")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EA9654-149B-455B-B037-D0C330FFD6EF}" name="Tabelle3" displayName="Tabelle3" ref="A3:AO25" totalsRowShown="0" headerRowDxfId="46">
  <autoFilter ref="A3:AO25" xr:uid="{27422959-90AD-4338-8C23-E3B9F7316881}"/>
  <tableColumns count="41">
    <tableColumn id="1" xr3:uid="{F20F49F8-6EB7-43C1-9922-F620A023E7F0}" name="Tag" dataDxfId="45"/>
    <tableColumn id="2" xr3:uid="{6971CB83-29C8-475B-A31E-D387F03E1C07}" name="Ned (€)" dataDxfId="44"/>
    <tableColumn id="3" xr3:uid="{F664882F-3BD9-41DE-A643-1C890FC1B073}" name="Ned (Backer)" dataDxfId="43"/>
    <tableColumn id="4" xr3:uid="{E579BA6A-6386-4040-8B87-1F53A08CA8B6}" name="Ned (€/B)" dataDxfId="42">
      <calculatedColumnFormula>IFERROR(Tabelle3[[#This Row],[Ned (€)]]/Tabelle3[[#This Row],[Ned (Backer)]],"")</calculatedColumnFormula>
    </tableColumn>
    <tableColumn id="44" xr3:uid="{3FFD3AC6-35A1-43A0-92E2-C690165FBD76}" name="Mythos (€)" dataDxfId="41"/>
    <tableColumn id="45" xr3:uid="{B6224B9A-94AB-4A48-A730-6D8A42666570}" name="Mythos (Backer)" dataDxfId="40"/>
    <tableColumn id="8" xr3:uid="{2114D7A1-DEA0-40EE-9B8B-0A668EFEB97B}" name="Thorwal (€)" dataDxfId="39"/>
    <tableColumn id="9" xr3:uid="{9A9EB59B-6CA6-4F08-B68D-0962E0D83338}" name="Thorwal (Backer)" dataDxfId="38"/>
    <tableColumn id="10" xr3:uid="{DF5363C3-935A-49F1-B72D-9DF733CE4302}" name="Werkzeuge (€)" dataDxfId="37"/>
    <tableColumn id="11" xr3:uid="{4CFD1B7C-52BE-49FD-B7F5-1D7A36D73889}" name="Werkzeuge (Backer)" dataDxfId="36"/>
    <tableColumn id="5" xr3:uid="{61100E78-BB32-4A90-9325-A41F57693C15}" name="Werkz (€/B)" dataDxfId="35">
      <calculatedColumnFormula>Tabelle3[[#This Row],[Werkzeuge (€)]]/Tabelle3[[#This Row],[Werkzeuge (Backer)]]</calculatedColumnFormula>
    </tableColumn>
    <tableColumn id="26" xr3:uid="{F4AEE733-FE50-4D43-B8B6-2CFA99AA7EE6}" name="DSK Fasar (€)" dataDxfId="34"/>
    <tableColumn id="29" xr3:uid="{519C5630-D167-4EFA-B84F-F9BC19E907B3}" name="DSK Fasar (Backer)" dataDxfId="33"/>
    <tableColumn id="6" xr3:uid="{854DE083-8DB9-471F-9D2E-9CCE4771207A}" name="DSK Fasar (€/B)" dataDxfId="32">
      <calculatedColumnFormula>Tabelle3[[#This Row],[DSK Fasar (€)]]/Tabelle3[[#This Row],[DSK Fasar (Backer)]]</calculatedColumnFormula>
    </tableColumn>
    <tableColumn id="20" xr3:uid="{C33B8766-778A-4CBA-B6CD-11F696D9BF3F}" name="Mythen (€)" dataDxfId="31"/>
    <tableColumn id="21" xr3:uid="{7FE9A82A-5A08-46A8-A0C2-586311B74BB6}" name="Mythen (Backer)" dataDxfId="30"/>
    <tableColumn id="7" xr3:uid="{1FB905C7-E806-4D0D-8C42-EEC0E36B3E50}" name="Spalte3" dataDxfId="29">
      <calculatedColumnFormula>Tabelle3[[#This Row],[Mythen (€)]]/Tabelle3[[#This Row],[Mythen (Backer)]]</calculatedColumnFormula>
    </tableColumn>
    <tableColumn id="34" xr3:uid="{ECB31B1D-5FD5-4EF9-871C-99A9FFBB4E6B}" name="SOK (€)" dataDxfId="28"/>
    <tableColumn id="35" xr3:uid="{1E34A881-32F6-48DB-8A12-F2F7F315C3B2}" name="SOK (Backer)" dataDxfId="27"/>
    <tableColumn id="27" xr3:uid="{4E1D286A-D371-44AF-9493-13F1B3BBA1E1}" name="Spalte4" dataDxfId="26">
      <calculatedColumnFormula>Tabelle3[[#This Row],[SOK (€)]]/Tabelle3[[#This Row],[SOK (Backer)]]</calculatedColumnFormula>
    </tableColumn>
    <tableColumn id="32" xr3:uid="{E4B16DC1-4EE4-4038-B4B5-B981FD62F8EA}" name="RE (€)" dataDxfId="25"/>
    <tableColumn id="33" xr3:uid="{8EB42BB1-C038-48A6-A211-78A44E799A6C}" name="RE (Backer)" dataDxfId="24"/>
    <tableColumn id="28" xr3:uid="{675D589F-A6F0-453C-BD2A-15ED374E6B93}" name="Spalte5" dataDxfId="23">
      <calculatedColumnFormula>Tabelle3[[#This Row],[RE (€)]]/Tabelle3[[#This Row],[RE (Backer)]]</calculatedColumnFormula>
    </tableColumn>
    <tableColumn id="40" xr3:uid="{B2000EDA-3E67-45D5-8ABE-A7E4CD713D4F}" name="DGG (€)" dataDxfId="22"/>
    <tableColumn id="41" xr3:uid="{545AC5E2-E4BD-4C28-A762-E9269E553E97}" name="DGG (Backer)" dataDxfId="21"/>
    <tableColumn id="30" xr3:uid="{0A7D82D9-FAFD-4AF2-98BD-4B5E82D93B24}" name="Spalte6" dataDxfId="20">
      <calculatedColumnFormula>Tabelle3[[#This Row],[DGG (€)]]/Tabelle3[[#This Row],[DGG (Backer)]]</calculatedColumnFormula>
    </tableColumn>
    <tableColumn id="42" xr3:uid="{D96E1501-FE3A-4B42-9A72-261BAD1904BA}" name="DSK SV (€)" dataDxfId="19"/>
    <tableColumn id="43" xr3:uid="{1BAF0051-85B5-4740-AFB6-EC165E373FD8}" name="DSK SV (Backer)" dataDxfId="18"/>
    <tableColumn id="31" xr3:uid="{138CB00F-2D25-4FC9-8AD0-2920AC181536}" name="Spalte7" dataDxfId="17">
      <calculatedColumnFormula>Tabelle3[[#This Row],[DSK SV (€)]]/Tabelle3[[#This Row],[DSK SV (Backer)]]</calculatedColumnFormula>
    </tableColumn>
    <tableColumn id="18" xr3:uid="{B115F17F-0C3A-4787-8FAF-58A699789E37}" name="WW (€)" dataDxfId="16"/>
    <tableColumn id="19" xr3:uid="{11D07988-6567-452C-B145-7D8ECCC114D6}" name="WW (Backer)" dataDxfId="15"/>
    <tableColumn id="36" xr3:uid="{8DC65953-3709-48DB-9A06-A512B0C5BBDC}" name="Spalte8" dataDxfId="14">
      <calculatedColumnFormula>Tabelle3[[#This Row],[WW (€)]]/Tabelle3[[#This Row],[WW (Backer)]]</calculatedColumnFormula>
    </tableColumn>
    <tableColumn id="22" xr3:uid="{A4423EDA-72CD-40A4-8CEB-84584B2848A9}" name="DSK R (€)" dataDxfId="13"/>
    <tableColumn id="23" xr3:uid="{9FA4C8B1-E398-4CB3-AC74-77828F3D4343}" name="DSK R (Backer)" dataDxfId="12"/>
    <tableColumn id="37" xr3:uid="{AE14262B-F3B7-47DF-BAFA-618A863548C2}" name="Spalte9" dataDxfId="11">
      <calculatedColumnFormula>Tabelle3[[#This Row],[DSK R (€)]]/Tabelle3[[#This Row],[DSK R (Backer)]]</calculatedColumnFormula>
    </tableColumn>
    <tableColumn id="24" xr3:uid="{EAE957AD-26EB-468A-9755-60EC7D72A845}" name="Ära (€)" dataDxfId="10"/>
    <tableColumn id="25" xr3:uid="{C1FC00A5-77F0-4DAB-9F9C-96D4AA018743}" name="Ära (Backer)" dataDxfId="9"/>
    <tableColumn id="46" xr3:uid="{629A9284-AB65-4209-9E8F-7A6AFE825122}" name="Spalte10" dataDxfId="8">
      <calculatedColumnFormula>Tabelle3[[#This Row],[Ära (€)]]/Tabelle3[[#This Row],[Ära (Backer)]]</calculatedColumnFormula>
    </tableColumn>
    <tableColumn id="38" xr3:uid="{1AF87199-875A-4AB9-9AC0-88E8D7A82669}" name="Mosaik (€)" dataDxfId="7"/>
    <tableColumn id="39" xr3:uid="{1B706C0D-84D1-42A8-B0AB-701DEC761DD3}" name="Mosaik (Backer)" dataDxfId="6"/>
    <tableColumn id="47" xr3:uid="{77302F65-6E91-4233-8F2D-21412E5DD1A9}" name="Spalte11" dataDxfId="5">
      <calculatedColumnFormula>Tabelle3[[#This Row],[Mosaik (€)]]/Tabelle3[[#This Row],[Mosaik (Backer)]]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hinter-dem-schwarzen-auge.de/links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hinter-dem-schwarzen-auge.de/support" TargetMode="External"/><Relationship Id="rId1" Type="http://schemas.openxmlformats.org/officeDocument/2006/relationships/hyperlink" Target="https://www.gameontabletop.com/cf2891/das-schwarze-auge-mosaik-der-marchen.html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3AF5-52E3-4D7D-8AFC-995B3E896D26}">
  <sheetPr codeName="Tabelle2">
    <tabColor rgb="FF00B0F0"/>
    <pageSetUpPr fitToPage="1"/>
  </sheetPr>
  <dimension ref="A1:CJ165"/>
  <sheetViews>
    <sheetView showGridLines="0" tabSelected="1" zoomScaleNormal="100" workbookViewId="0">
      <pane ySplit="1" topLeftCell="A2" activePane="bottomLeft" state="frozen"/>
      <selection pane="bottomLeft" activeCell="B5" sqref="B5:B16"/>
    </sheetView>
  </sheetViews>
  <sheetFormatPr baseColWidth="10" defaultRowHeight="15" outlineLevelRow="1" outlineLevelCol="2" x14ac:dyDescent="0.3"/>
  <cols>
    <col min="1" max="1" width="1.28515625" style="111" customWidth="1"/>
    <col min="2" max="2" width="18.5703125" style="100" customWidth="1"/>
    <col min="3" max="3" width="2.85546875" style="101" customWidth="1"/>
    <col min="4" max="4" width="87.140625" style="56" customWidth="1"/>
    <col min="5" max="5" width="8.85546875" style="101" bestFit="1" customWidth="1"/>
    <col min="6" max="6" width="56.140625" style="101" customWidth="1"/>
    <col min="7" max="7" width="8.140625" style="101" customWidth="1"/>
    <col min="8" max="13" width="13" style="101" customWidth="1"/>
    <col min="14" max="20" width="13" style="102" customWidth="1"/>
    <col min="21" max="21" width="16.7109375" style="26" hidden="1" customWidth="1" outlineLevel="1"/>
    <col min="22" max="22" width="9.85546875" style="26" hidden="1" customWidth="1" outlineLevel="1"/>
    <col min="23" max="29" width="16.7109375" style="26" hidden="1" customWidth="1" outlineLevel="2"/>
    <col min="30" max="36" width="13" style="336" hidden="1" customWidth="1" outlineLevel="2"/>
    <col min="37" max="37" width="3.140625" style="336" hidden="1" customWidth="1" outlineLevel="2"/>
    <col min="38" max="38" width="11.42578125" style="26" hidden="1" customWidth="1" outlineLevel="1" collapsed="1"/>
    <col min="39" max="41" width="11.42578125" style="26" hidden="1" customWidth="1" outlineLevel="1"/>
    <col min="42" max="42" width="13.140625" style="26" hidden="1" customWidth="1" outlineLevel="1"/>
    <col min="43" max="43" width="7.28515625" style="26" hidden="1" customWidth="1" outlineLevel="1"/>
    <col min="44" max="44" width="9.28515625" style="26" hidden="1" customWidth="1" outlineLevel="2"/>
    <col min="45" max="45" width="12.5703125" style="26" hidden="1" customWidth="1" outlineLevel="1"/>
    <col min="46" max="48" width="11.42578125" style="26" hidden="1" customWidth="1" outlineLevel="1"/>
    <col min="49" max="49" width="11.42578125" style="27" hidden="1" customWidth="1" outlineLevel="1"/>
    <col min="50" max="51" width="11.42578125" style="26" hidden="1" customWidth="1" outlineLevel="1"/>
    <col min="52" max="52" width="11.42578125" style="157" hidden="1" customWidth="1" outlineLevel="1"/>
    <col min="53" max="53" width="11.42578125" style="43" hidden="1" customWidth="1" outlineLevel="1"/>
    <col min="54" max="54" width="11.42578125" style="157" hidden="1" customWidth="1" outlineLevel="1"/>
    <col min="55" max="55" width="11.42578125" style="43" hidden="1" customWidth="1" outlineLevel="1"/>
    <col min="56" max="56" width="14" style="26" hidden="1" customWidth="1" outlineLevel="1"/>
    <col min="57" max="59" width="11.42578125" style="35" hidden="1" customWidth="1" outlineLevel="1"/>
    <col min="60" max="60" width="11.42578125" style="26" hidden="1" customWidth="1" outlineLevel="1"/>
    <col min="61" max="63" width="11.42578125" style="35" hidden="1" customWidth="1" outlineLevel="1"/>
    <col min="64" max="65" width="11.42578125" style="26" hidden="1" customWidth="1" outlineLevel="1"/>
    <col min="66" max="66" width="11.42578125" style="111" collapsed="1"/>
    <col min="67" max="84" width="11.42578125" style="111"/>
    <col min="85" max="16384" width="11.42578125" style="56"/>
  </cols>
  <sheetData>
    <row r="1" spans="1:84" s="111" customFormat="1" ht="24.75" thickBot="1" x14ac:dyDescent="0.35">
      <c r="B1" s="590" t="s">
        <v>234</v>
      </c>
      <c r="C1" s="591"/>
      <c r="D1" s="591"/>
      <c r="E1" s="591"/>
      <c r="F1" s="592"/>
      <c r="G1" s="128"/>
      <c r="H1" s="128"/>
      <c r="I1" s="128"/>
      <c r="J1" s="128"/>
      <c r="K1" s="128"/>
      <c r="L1" s="126"/>
      <c r="M1" s="128"/>
      <c r="N1" s="128"/>
      <c r="O1" s="128"/>
      <c r="P1" s="128"/>
      <c r="Q1" s="128"/>
      <c r="R1" s="128"/>
      <c r="S1" s="128"/>
      <c r="T1" s="128"/>
      <c r="U1" s="276" t="s">
        <v>165</v>
      </c>
      <c r="V1" s="276"/>
      <c r="W1" s="276"/>
      <c r="X1" s="276"/>
      <c r="Y1" s="276"/>
      <c r="Z1" s="276"/>
      <c r="AA1" s="276"/>
      <c r="AB1" s="276"/>
      <c r="AC1" s="276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191"/>
      <c r="BA1" s="49"/>
      <c r="BB1" s="191"/>
      <c r="BC1" s="49"/>
      <c r="BD1" s="49"/>
      <c r="BE1" s="49"/>
      <c r="BF1" s="49"/>
      <c r="BG1" s="35"/>
      <c r="BH1" s="26"/>
      <c r="BI1" s="35"/>
      <c r="BJ1" s="35"/>
      <c r="BK1" s="35"/>
      <c r="BL1" s="26"/>
      <c r="BM1" s="26"/>
    </row>
    <row r="2" spans="1:84" s="2" customFormat="1" ht="4.5" customHeight="1" x14ac:dyDescent="0.3">
      <c r="A2" s="117"/>
      <c r="B2" s="111"/>
      <c r="C2" s="128"/>
      <c r="D2" s="111"/>
      <c r="E2" s="128"/>
      <c r="F2" s="128"/>
      <c r="G2" s="128"/>
      <c r="H2" s="128"/>
      <c r="I2" s="128"/>
      <c r="J2" s="128"/>
      <c r="K2" s="128"/>
      <c r="L2" s="126"/>
      <c r="M2" s="128"/>
      <c r="N2" s="128"/>
      <c r="O2" s="128"/>
      <c r="P2" s="128"/>
      <c r="Q2" s="128"/>
      <c r="R2" s="128"/>
      <c r="S2" s="128"/>
      <c r="T2" s="128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</row>
    <row r="3" spans="1:84" s="2" customFormat="1" ht="19.5" thickBot="1" x14ac:dyDescent="0.35">
      <c r="A3" s="117"/>
      <c r="B3" s="111"/>
      <c r="C3" s="128"/>
      <c r="D3" s="243" t="s">
        <v>162</v>
      </c>
      <c r="E3" s="608" t="s">
        <v>383</v>
      </c>
      <c r="F3" s="608"/>
      <c r="G3" s="608"/>
      <c r="H3" s="248"/>
      <c r="I3" s="248"/>
      <c r="J3" s="248"/>
      <c r="K3" s="248"/>
      <c r="L3" s="248"/>
      <c r="M3" s="248"/>
      <c r="N3" s="128"/>
      <c r="O3" s="128"/>
      <c r="P3" s="128"/>
      <c r="Q3" s="128"/>
      <c r="R3" s="128"/>
      <c r="S3" s="128"/>
      <c r="T3" s="128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63"/>
      <c r="AL3" s="63"/>
      <c r="AM3" s="63"/>
      <c r="AN3" s="63"/>
      <c r="AO3" s="63"/>
      <c r="AP3" s="63"/>
      <c r="AQ3" s="63"/>
      <c r="AR3" s="63"/>
      <c r="AS3" s="63"/>
      <c r="AT3" s="26"/>
      <c r="AU3" s="268" t="s">
        <v>31</v>
      </c>
      <c r="AV3" s="235" t="s">
        <v>16</v>
      </c>
      <c r="AW3" s="235" t="s">
        <v>15</v>
      </c>
      <c r="AX3" s="269" t="s">
        <v>41</v>
      </c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</row>
    <row r="4" spans="1:84" s="2" customFormat="1" ht="15" customHeight="1" thickBot="1" x14ac:dyDescent="0.35">
      <c r="A4" s="117"/>
      <c r="B4" s="111"/>
      <c r="C4" s="128"/>
      <c r="D4" s="111"/>
      <c r="E4" s="128"/>
      <c r="F4" s="128"/>
      <c r="G4" s="128"/>
      <c r="H4" s="128"/>
      <c r="I4" s="128"/>
      <c r="J4" s="128"/>
      <c r="K4" s="128"/>
      <c r="L4" s="128"/>
      <c r="M4" s="128"/>
      <c r="N4" s="111"/>
      <c r="O4" s="111"/>
      <c r="P4" s="111"/>
      <c r="Q4" s="111"/>
      <c r="R4" s="111"/>
      <c r="S4" s="111"/>
      <c r="T4" s="111"/>
      <c r="U4" s="259" t="s">
        <v>31</v>
      </c>
      <c r="V4" s="252">
        <v>21</v>
      </c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6"/>
      <c r="AI4" s="26"/>
      <c r="AJ4" s="26"/>
      <c r="AK4" s="63"/>
      <c r="AL4" s="63"/>
      <c r="AM4" s="63"/>
      <c r="AN4" s="63"/>
      <c r="AO4" s="63"/>
      <c r="AP4" s="63"/>
      <c r="AQ4" s="63"/>
      <c r="AR4" s="63"/>
      <c r="AS4" s="63"/>
      <c r="AT4" s="82" t="s">
        <v>19</v>
      </c>
      <c r="AU4" s="270">
        <v>1</v>
      </c>
      <c r="AV4" s="39">
        <f>VLOOKUP(AU4,$AL$51:$AV$71,11,FALSE)</f>
        <v>25960</v>
      </c>
      <c r="AW4" s="39">
        <f>VLOOKUP(AU4,$AL$51:$AU$71,10,FALSE)</f>
        <v>347</v>
      </c>
      <c r="AX4" s="271">
        <f>IFERROR(Tabelle24[[#This Row],[€]]/Tabelle24[[#This Row],[Backer]],"")</f>
        <v>74.812680115273778</v>
      </c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</row>
    <row r="5" spans="1:84" s="2" customFormat="1" ht="15" customHeight="1" x14ac:dyDescent="0.3">
      <c r="A5" s="117"/>
      <c r="B5" s="602" t="s">
        <v>161</v>
      </c>
      <c r="C5" s="245"/>
      <c r="D5" s="240"/>
      <c r="E5" s="245"/>
      <c r="F5" s="240"/>
      <c r="G5" s="128"/>
      <c r="H5" s="613" t="s">
        <v>168</v>
      </c>
      <c r="I5" s="614"/>
      <c r="J5" s="614"/>
      <c r="K5" s="614"/>
      <c r="L5" s="614"/>
      <c r="M5" s="614"/>
      <c r="N5" s="614"/>
      <c r="O5" s="615"/>
      <c r="P5" s="111"/>
      <c r="Q5" s="111"/>
      <c r="R5" s="111"/>
      <c r="S5" s="111"/>
      <c r="T5" s="111"/>
      <c r="U5" s="260" t="s">
        <v>14</v>
      </c>
      <c r="V5" s="253">
        <v>45371</v>
      </c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98" t="s">
        <v>20</v>
      </c>
      <c r="AU5" s="270">
        <v>2</v>
      </c>
      <c r="AV5" s="39">
        <f>VLOOKUP(AU5,$AL$51:$AV$71,11,FALSE)</f>
        <v>9752</v>
      </c>
      <c r="AW5" s="39">
        <f>VLOOKUP(AU5,$AL$51:$AU$71,10,FALSE)</f>
        <v>136</v>
      </c>
      <c r="AX5" s="271">
        <f>IFERROR(Tabelle24[[#This Row],[€]]/Tabelle24[[#This Row],[Backer]],"")</f>
        <v>71.705882352941174</v>
      </c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</row>
    <row r="6" spans="1:84" s="2" customFormat="1" ht="15" customHeight="1" thickBot="1" x14ac:dyDescent="0.3">
      <c r="A6" s="117"/>
      <c r="B6" s="603"/>
      <c r="C6" s="128"/>
      <c r="D6" s="111"/>
      <c r="E6" s="128"/>
      <c r="F6" s="128"/>
      <c r="G6" s="128"/>
      <c r="H6" s="616"/>
      <c r="I6" s="617"/>
      <c r="J6" s="617"/>
      <c r="K6" s="617"/>
      <c r="L6" s="617"/>
      <c r="M6" s="617"/>
      <c r="N6" s="617"/>
      <c r="O6" s="618"/>
      <c r="P6" s="111"/>
      <c r="Q6" s="111"/>
      <c r="R6" s="111"/>
      <c r="S6" s="111"/>
      <c r="T6" s="111"/>
      <c r="U6" s="260" t="s">
        <v>34</v>
      </c>
      <c r="V6" s="254" t="s">
        <v>416</v>
      </c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82" t="s">
        <v>22</v>
      </c>
      <c r="AU6" s="270">
        <v>21</v>
      </c>
      <c r="AV6" s="39">
        <f>VLOOKUP(AU6,$AL$51:$AV$71,11,FALSE)</f>
        <v>7428</v>
      </c>
      <c r="AW6" s="39">
        <f>VLOOKUP(AU6,$AL$51:$AU$71,10,FALSE)</f>
        <v>104</v>
      </c>
      <c r="AX6" s="271">
        <f>IFERROR(Tabelle24[[#This Row],[€]]/Tabelle24[[#This Row],[Backer]],"")</f>
        <v>71.42307692307692</v>
      </c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</row>
    <row r="7" spans="1:84" s="2" customFormat="1" ht="18.75" customHeight="1" thickBot="1" x14ac:dyDescent="0.3">
      <c r="A7" s="117"/>
      <c r="B7" s="603"/>
      <c r="C7" s="128"/>
      <c r="D7" s="111"/>
      <c r="E7" s="128"/>
      <c r="F7" s="128"/>
      <c r="G7" s="128"/>
      <c r="H7" s="616"/>
      <c r="I7" s="617"/>
      <c r="J7" s="617"/>
      <c r="K7" s="617"/>
      <c r="L7" s="617"/>
      <c r="M7" s="617"/>
      <c r="N7" s="617"/>
      <c r="O7" s="618"/>
      <c r="P7" s="111"/>
      <c r="Q7" s="111"/>
      <c r="R7" s="111"/>
      <c r="S7" s="111"/>
      <c r="T7" s="111"/>
      <c r="U7" s="260" t="s">
        <v>17</v>
      </c>
      <c r="V7" s="258">
        <v>12</v>
      </c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98" t="s">
        <v>59</v>
      </c>
      <c r="AU7" s="270">
        <v>19</v>
      </c>
      <c r="AV7" s="39">
        <f>VLOOKUP(AU7,$AL$51:$AV$71,11,FALSE)</f>
        <v>5395</v>
      </c>
      <c r="AW7" s="39">
        <f>VLOOKUP(AU7,$AL$51:$AU$71,10,FALSE)</f>
        <v>81</v>
      </c>
      <c r="AX7" s="271">
        <f>IFERROR(Tabelle24[[#This Row],[€]]/Tabelle24[[#This Row],[Backer]],"")</f>
        <v>66.604938271604937</v>
      </c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</row>
    <row r="8" spans="1:84" s="2" customFormat="1" ht="18.75" customHeight="1" x14ac:dyDescent="0.25">
      <c r="A8" s="117"/>
      <c r="B8" s="603"/>
      <c r="C8" s="128"/>
      <c r="D8" s="111"/>
      <c r="E8" s="128"/>
      <c r="F8" s="128"/>
      <c r="G8" s="128"/>
      <c r="H8" s="616"/>
      <c r="I8" s="617"/>
      <c r="J8" s="617"/>
      <c r="K8" s="617"/>
      <c r="L8" s="617"/>
      <c r="M8" s="617"/>
      <c r="N8" s="617"/>
      <c r="O8" s="618"/>
      <c r="P8" s="111"/>
      <c r="Q8" s="111"/>
      <c r="R8" s="111"/>
      <c r="S8" s="111"/>
      <c r="T8" s="111"/>
      <c r="U8" s="260" t="s">
        <v>16</v>
      </c>
      <c r="V8" s="38">
        <v>84047</v>
      </c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82" t="s">
        <v>21</v>
      </c>
      <c r="AU8" s="270">
        <v>20</v>
      </c>
      <c r="AV8" s="39">
        <f>VLOOKUP(AU8,$AL$51:$AV$71,11,FALSE)</f>
        <v>4883</v>
      </c>
      <c r="AW8" s="39">
        <f>VLOOKUP(AU8,$AL$51:$AU$71,10,FALSE)</f>
        <v>80</v>
      </c>
      <c r="AX8" s="271">
        <f>IFERROR(Tabelle24[[#This Row],[€]]/Tabelle24[[#This Row],[Backer]],"")</f>
        <v>61.037500000000001</v>
      </c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</row>
    <row r="9" spans="1:84" s="2" customFormat="1" ht="15" customHeight="1" thickBot="1" x14ac:dyDescent="0.3">
      <c r="A9" s="117"/>
      <c r="B9" s="603"/>
      <c r="C9" s="128"/>
      <c r="D9" s="111"/>
      <c r="E9" s="128"/>
      <c r="F9" s="128"/>
      <c r="G9" s="128"/>
      <c r="H9" s="616"/>
      <c r="I9" s="617"/>
      <c r="J9" s="617"/>
      <c r="K9" s="617"/>
      <c r="L9" s="617"/>
      <c r="M9" s="617"/>
      <c r="N9" s="617"/>
      <c r="O9" s="618"/>
      <c r="P9" s="111"/>
      <c r="Q9" s="111"/>
      <c r="R9" s="111"/>
      <c r="S9" s="111"/>
      <c r="T9" s="111"/>
      <c r="U9" s="261" t="s">
        <v>18</v>
      </c>
      <c r="V9" s="254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98" t="s">
        <v>60</v>
      </c>
      <c r="AU9" s="270">
        <v>4</v>
      </c>
      <c r="AV9" s="39">
        <f>VLOOKUP(AU9,$AL$51:$AV$71,11,FALSE)</f>
        <v>3915</v>
      </c>
      <c r="AW9" s="39">
        <f>VLOOKUP(AU9,$AL$51:$AU$71,10,FALSE)</f>
        <v>49</v>
      </c>
      <c r="AX9" s="271">
        <f>IFERROR(Tabelle24[[#This Row],[€]]/Tabelle24[[#This Row],[Backer]],"")</f>
        <v>79.897959183673464</v>
      </c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</row>
    <row r="10" spans="1:84" s="2" customFormat="1" ht="18.75" customHeight="1" thickBot="1" x14ac:dyDescent="0.3">
      <c r="A10" s="117"/>
      <c r="B10" s="603"/>
      <c r="C10" s="128"/>
      <c r="D10" s="111"/>
      <c r="E10" s="128"/>
      <c r="F10" s="128"/>
      <c r="G10" s="128"/>
      <c r="H10" s="619"/>
      <c r="I10" s="620"/>
      <c r="J10" s="620"/>
      <c r="K10" s="620"/>
      <c r="L10" s="620"/>
      <c r="M10" s="620"/>
      <c r="N10" s="620"/>
      <c r="O10" s="621"/>
      <c r="P10" s="111"/>
      <c r="Q10" s="111"/>
      <c r="R10" s="111"/>
      <c r="S10" s="111"/>
      <c r="T10" s="111"/>
      <c r="U10" s="260" t="s">
        <v>15</v>
      </c>
      <c r="V10" s="40">
        <v>1157</v>
      </c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82" t="s">
        <v>23</v>
      </c>
      <c r="AU10" s="270">
        <v>3</v>
      </c>
      <c r="AV10" s="39">
        <f>VLOOKUP(AU10,$AL$51:$AV$71,11,FALSE)</f>
        <v>3629</v>
      </c>
      <c r="AW10" s="39">
        <f>VLOOKUP(AU10,$AL$51:$AU$71,10,FALSE)</f>
        <v>53</v>
      </c>
      <c r="AX10" s="271">
        <f>IFERROR(Tabelle24[[#This Row],[€]]/Tabelle24[[#This Row],[Backer]],"")</f>
        <v>68.471698113207552</v>
      </c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</row>
    <row r="11" spans="1:84" s="2" customFormat="1" ht="15.75" customHeight="1" thickBot="1" x14ac:dyDescent="0.3">
      <c r="A11" s="117"/>
      <c r="B11" s="603"/>
      <c r="C11" s="128"/>
      <c r="D11" s="111"/>
      <c r="E11" s="128"/>
      <c r="F11" s="128"/>
      <c r="G11" s="128"/>
      <c r="H11" s="128"/>
      <c r="I11" s="128"/>
      <c r="J11" s="128"/>
      <c r="K11" s="128"/>
      <c r="L11" s="128"/>
      <c r="M11" s="128"/>
      <c r="N11" s="111"/>
      <c r="O11" s="111"/>
      <c r="P11" s="111"/>
      <c r="Q11" s="111"/>
      <c r="R11" s="111"/>
      <c r="S11" s="111"/>
      <c r="T11" s="111"/>
      <c r="U11" s="260" t="s">
        <v>83</v>
      </c>
      <c r="V11" s="42">
        <f>V8/V10</f>
        <v>72.642178046672427</v>
      </c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98" t="s">
        <v>61</v>
      </c>
      <c r="AU11" s="270">
        <v>18</v>
      </c>
      <c r="AV11" s="39">
        <f>VLOOKUP(AU11,$AL$51:$AV$71,11,FALSE)</f>
        <v>2554</v>
      </c>
      <c r="AW11" s="39">
        <f>VLOOKUP(AU11,$AL$51:$AU$71,10,FALSE)</f>
        <v>27</v>
      </c>
      <c r="AX11" s="271">
        <f>IFERROR(Tabelle24[[#This Row],[€]]/Tabelle24[[#This Row],[Backer]],"")</f>
        <v>94.592592592592595</v>
      </c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</row>
    <row r="12" spans="1:84" s="2" customFormat="1" ht="18.75" customHeight="1" x14ac:dyDescent="0.3">
      <c r="A12" s="117"/>
      <c r="B12" s="603"/>
      <c r="C12" s="128"/>
      <c r="D12" s="111"/>
      <c r="E12" s="128"/>
      <c r="F12" s="128"/>
      <c r="G12" s="128"/>
      <c r="H12" s="625" t="s">
        <v>126</v>
      </c>
      <c r="I12" s="626"/>
      <c r="J12" s="626"/>
      <c r="K12" s="626"/>
      <c r="L12" s="626"/>
      <c r="M12" s="626"/>
      <c r="N12" s="626"/>
      <c r="O12" s="627"/>
      <c r="P12" s="111"/>
      <c r="Q12" s="111"/>
      <c r="R12" s="111"/>
      <c r="S12" s="111"/>
      <c r="T12" s="111"/>
      <c r="U12" s="259" t="s">
        <v>58</v>
      </c>
      <c r="V12" s="46">
        <f>SUM('CF-Guide'!$H$5:$P$5)</f>
        <v>1157</v>
      </c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82" t="s">
        <v>25</v>
      </c>
      <c r="AU12" s="270">
        <v>17</v>
      </c>
      <c r="AV12" s="39">
        <f>VLOOKUP(AU12,$AL$51:$AV$71,11,FALSE)</f>
        <v>2427</v>
      </c>
      <c r="AW12" s="39">
        <f>VLOOKUP(AU12,$AL$51:$AU$71,10,FALSE)</f>
        <v>29</v>
      </c>
      <c r="AX12" s="271">
        <f>IFERROR(Tabelle24[[#This Row],[€]]/Tabelle24[[#This Row],[Backer]],"")</f>
        <v>83.689655172413794</v>
      </c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</row>
    <row r="13" spans="1:84" s="2" customFormat="1" ht="19.5" thickBot="1" x14ac:dyDescent="0.35">
      <c r="A13" s="117"/>
      <c r="B13" s="603"/>
      <c r="C13" s="128"/>
      <c r="D13" s="111"/>
      <c r="E13" s="128"/>
      <c r="F13" s="128"/>
      <c r="G13" s="128"/>
      <c r="H13" s="628" t="s">
        <v>127</v>
      </c>
      <c r="I13" s="629"/>
      <c r="J13" s="629"/>
      <c r="K13" s="629"/>
      <c r="L13" s="629"/>
      <c r="M13" s="629"/>
      <c r="N13" s="629"/>
      <c r="O13" s="630"/>
      <c r="P13" s="111"/>
      <c r="Q13" s="111"/>
      <c r="R13" s="111"/>
      <c r="S13" s="111"/>
      <c r="T13" s="111"/>
      <c r="U13" s="262" t="s">
        <v>38</v>
      </c>
      <c r="V13" s="151">
        <f>V12-V10</f>
        <v>0</v>
      </c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82" t="s">
        <v>24</v>
      </c>
      <c r="AU13" s="270">
        <v>7</v>
      </c>
      <c r="AV13" s="39">
        <f>VLOOKUP(AU13,$AL$51:$AV$71,11,FALSE)</f>
        <v>2052</v>
      </c>
      <c r="AW13" s="39">
        <f>VLOOKUP(AU13,$AL$51:$AU$71,10,FALSE)</f>
        <v>28</v>
      </c>
      <c r="AX13" s="271">
        <f>IFERROR(Tabelle24[[#This Row],[€]]/Tabelle24[[#This Row],[Backer]],"")</f>
        <v>73.285714285714292</v>
      </c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</row>
    <row r="14" spans="1:84" s="2" customFormat="1" ht="19.5" thickBot="1" x14ac:dyDescent="0.35">
      <c r="A14" s="117"/>
      <c r="B14" s="603"/>
      <c r="C14" s="128"/>
      <c r="D14" s="111"/>
      <c r="E14" s="128"/>
      <c r="F14" s="128"/>
      <c r="G14" s="128"/>
      <c r="H14" s="234"/>
      <c r="I14" s="234"/>
      <c r="J14" s="234"/>
      <c r="K14" s="128"/>
      <c r="L14" s="126"/>
      <c r="M14" s="128"/>
      <c r="N14" s="111"/>
      <c r="O14" s="111"/>
      <c r="P14" s="111"/>
      <c r="Q14" s="111"/>
      <c r="R14" s="111"/>
      <c r="S14" s="111"/>
      <c r="T14" s="111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82" t="s">
        <v>26</v>
      </c>
      <c r="AU14" s="270">
        <v>10</v>
      </c>
      <c r="AV14" s="39">
        <f>VLOOKUP(AU14,$AL$51:$AV$71,11,FALSE)</f>
        <v>2022</v>
      </c>
      <c r="AW14" s="39">
        <f>VLOOKUP(AU14,$AL$51:$AU$71,10,FALSE)</f>
        <v>22</v>
      </c>
      <c r="AX14" s="271">
        <f>IFERROR(Tabelle24[[#This Row],[€]]/Tabelle24[[#This Row],[Backer]],"")</f>
        <v>91.909090909090907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</row>
    <row r="15" spans="1:84" s="2" customFormat="1" ht="18.75" x14ac:dyDescent="0.3">
      <c r="A15" s="117"/>
      <c r="B15" s="603"/>
      <c r="C15" s="128"/>
      <c r="D15" s="111"/>
      <c r="E15" s="128"/>
      <c r="F15" s="128"/>
      <c r="G15" s="128"/>
      <c r="H15" s="234"/>
      <c r="I15" s="234"/>
      <c r="J15" s="234"/>
      <c r="K15" s="128"/>
      <c r="L15" s="126"/>
      <c r="M15" s="128"/>
      <c r="N15" s="111"/>
      <c r="O15" s="111"/>
      <c r="P15" s="111"/>
      <c r="Q15" s="111"/>
      <c r="R15" s="111"/>
      <c r="S15" s="111"/>
      <c r="T15" s="111"/>
      <c r="U15" s="263" t="str">
        <f>'CF-Guide'!$H$3</f>
        <v>Digitaler Schattenfuchs</v>
      </c>
      <c r="V15" s="38">
        <v>24</v>
      </c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82" t="s">
        <v>62</v>
      </c>
      <c r="AU15" s="270">
        <v>11</v>
      </c>
      <c r="AV15" s="39">
        <f>VLOOKUP(AU15,$AL$51:$AV$71,11,FALSE)</f>
        <v>1845</v>
      </c>
      <c r="AW15" s="39">
        <f>VLOOKUP(AU15,$AL$51:$AU$71,10,FALSE)</f>
        <v>26</v>
      </c>
      <c r="AX15" s="271">
        <f>IFERROR(Tabelle24[[#This Row],[€]]/Tabelle24[[#This Row],[Backer]],"")</f>
        <v>70.961538461538467</v>
      </c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</row>
    <row r="16" spans="1:84" s="2" customFormat="1" ht="19.5" thickBot="1" x14ac:dyDescent="0.35">
      <c r="A16" s="117"/>
      <c r="B16" s="604"/>
      <c r="C16" s="128"/>
      <c r="D16" s="111"/>
      <c r="E16" s="128"/>
      <c r="F16" s="128"/>
      <c r="G16" s="128"/>
      <c r="H16" s="234"/>
      <c r="I16" s="234"/>
      <c r="J16" s="234"/>
      <c r="K16" s="128"/>
      <c r="L16" s="126"/>
      <c r="M16" s="128"/>
      <c r="N16" s="111"/>
      <c r="O16" s="111"/>
      <c r="P16" s="111"/>
      <c r="Q16" s="111"/>
      <c r="R16" s="111"/>
      <c r="S16" s="111"/>
      <c r="T16" s="111"/>
      <c r="U16" s="263" t="str">
        <f>'CF-Guide'!$I$3</f>
        <v>Schattenfuchs</v>
      </c>
      <c r="V16" s="255">
        <v>714</v>
      </c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82" t="s">
        <v>29</v>
      </c>
      <c r="AU16" s="270">
        <v>8</v>
      </c>
      <c r="AV16" s="39">
        <f>VLOOKUP(AU16,$AL$51:$AV$71,11,FALSE)</f>
        <v>1763</v>
      </c>
      <c r="AW16" s="39">
        <f>VLOOKUP(AU16,$AL$51:$AU$71,10,FALSE)</f>
        <v>26</v>
      </c>
      <c r="AX16" s="271">
        <f>IFERROR(Tabelle24[[#This Row],[€]]/Tabelle24[[#This Row],[Backer]],"")</f>
        <v>67.807692307692307</v>
      </c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</row>
    <row r="17" spans="1:88" s="2" customFormat="1" ht="18.75" customHeight="1" x14ac:dyDescent="0.3">
      <c r="A17" s="117"/>
      <c r="B17" s="111"/>
      <c r="C17" s="111"/>
      <c r="D17" s="241" t="s">
        <v>235</v>
      </c>
      <c r="E17" s="241"/>
      <c r="F17" s="244" t="s">
        <v>164</v>
      </c>
      <c r="G17" s="128"/>
      <c r="H17" s="234"/>
      <c r="I17" s="234"/>
      <c r="J17" s="234"/>
      <c r="K17" s="128"/>
      <c r="L17" s="126"/>
      <c r="M17" s="128"/>
      <c r="N17" s="111"/>
      <c r="O17" s="111"/>
      <c r="P17" s="111"/>
      <c r="Q17" s="111"/>
      <c r="R17" s="111"/>
      <c r="S17" s="111"/>
      <c r="T17" s="111"/>
      <c r="U17" s="263">
        <f>'CF-Guide'!$J$3</f>
        <v>0</v>
      </c>
      <c r="V17" s="255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82" t="s">
        <v>63</v>
      </c>
      <c r="AU17" s="270">
        <v>5</v>
      </c>
      <c r="AV17" s="39">
        <f>VLOOKUP(AU17,$AL$51:$AV$71,11,FALSE)</f>
        <v>1710</v>
      </c>
      <c r="AW17" s="39">
        <f>VLOOKUP(AU17,$AL$51:$AU$71,10,FALSE)</f>
        <v>26</v>
      </c>
      <c r="AX17" s="271">
        <f>IFERROR(Tabelle24[[#This Row],[€]]/Tabelle24[[#This Row],[Backer]],"")</f>
        <v>65.769230769230774</v>
      </c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</row>
    <row r="18" spans="1:88" s="2" customFormat="1" ht="18.75" customHeight="1" x14ac:dyDescent="0.3">
      <c r="A18" s="117"/>
      <c r="B18" s="111"/>
      <c r="C18" s="111"/>
      <c r="D18" s="401" t="s">
        <v>236</v>
      </c>
      <c r="E18" s="351"/>
      <c r="F18" s="242" t="s">
        <v>114</v>
      </c>
      <c r="G18" s="128"/>
      <c r="H18" s="234"/>
      <c r="I18" s="234"/>
      <c r="J18" s="234"/>
      <c r="K18" s="128"/>
      <c r="L18" s="126"/>
      <c r="M18" s="128"/>
      <c r="N18" s="111"/>
      <c r="O18" s="111"/>
      <c r="P18" s="111"/>
      <c r="Q18" s="111"/>
      <c r="R18" s="111"/>
      <c r="S18" s="111"/>
      <c r="T18" s="111"/>
      <c r="U18" s="263">
        <f>'CF-Guide'!$K$3</f>
        <v>0</v>
      </c>
      <c r="V18" s="255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82" t="s">
        <v>30</v>
      </c>
      <c r="AU18" s="270">
        <v>6</v>
      </c>
      <c r="AV18" s="39">
        <f>VLOOKUP(AU18,$AL$51:$AV$71,11,FALSE)</f>
        <v>1554</v>
      </c>
      <c r="AW18" s="39">
        <f>VLOOKUP(AU18,$AL$51:$AU$71,10,FALSE)</f>
        <v>22</v>
      </c>
      <c r="AX18" s="271">
        <f>IFERROR(Tabelle24[[#This Row],[€]]/Tabelle24[[#This Row],[Backer]],"")</f>
        <v>70.63636363636364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</row>
    <row r="19" spans="1:88" s="2" customFormat="1" ht="19.5" collapsed="1" thickBot="1" x14ac:dyDescent="0.35">
      <c r="A19" s="117"/>
      <c r="B19" s="111"/>
      <c r="C19" s="128"/>
      <c r="D19" s="111"/>
      <c r="E19" s="111"/>
      <c r="F19" s="128"/>
      <c r="G19" s="128"/>
      <c r="H19" s="247"/>
      <c r="I19" s="247"/>
      <c r="J19" s="247"/>
      <c r="K19" s="128"/>
      <c r="L19" s="126"/>
      <c r="M19" s="128"/>
      <c r="N19" s="128"/>
      <c r="O19" s="128"/>
      <c r="P19" s="128"/>
      <c r="Q19" s="111"/>
      <c r="R19" s="111"/>
      <c r="S19" s="111"/>
      <c r="T19" s="111"/>
      <c r="U19" s="263">
        <f>'CF-Guide'!$L$3</f>
        <v>0</v>
      </c>
      <c r="V19" s="255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82" t="s">
        <v>64</v>
      </c>
      <c r="AU19" s="270">
        <v>12</v>
      </c>
      <c r="AV19" s="39">
        <f>VLOOKUP(AU19,$AL$51:$AV$71,11,FALSE)</f>
        <v>1511</v>
      </c>
      <c r="AW19" s="39">
        <f>VLOOKUP(AU19,$AL$51:$AU$71,10,FALSE)</f>
        <v>22</v>
      </c>
      <c r="AX19" s="271">
        <f>IFERROR(Tabelle24[[#This Row],[€]]/Tabelle24[[#This Row],[Backer]],"")</f>
        <v>68.681818181818187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</row>
    <row r="20" spans="1:88" s="2" customFormat="1" ht="19.5" customHeight="1" x14ac:dyDescent="0.3">
      <c r="A20" s="117"/>
      <c r="B20" s="605" t="str">
        <f>"Finaler
Stand: 
"&amp;TEXT(V5,"TT.MM.JJJJ")&amp;"
"&amp;V6&amp;" Uhr"</f>
        <v>Finaler
Stand: 
20.03.2024
18:00 Uhr</v>
      </c>
      <c r="C20" s="251"/>
      <c r="D20" s="596" t="str">
        <f>TEXT(V4&amp;". Tag",)&amp;"; Finaler Stand: "&amp;TEXT(V8,"#.##0")&amp;" € von "&amp;TEXT(V10,"#.##0")&amp;" Unterstützern (Ø "&amp;TEXT(V11,"#.##0,00")&amp;" €)"</f>
        <v>21. Tag; Finaler Stand: 84.047 € von 1.157 Unterstützern (Ø 72,64 €)</v>
      </c>
      <c r="E20" s="596"/>
      <c r="F20" s="596"/>
      <c r="G20" s="128"/>
      <c r="H20" s="249"/>
      <c r="I20" s="247"/>
      <c r="J20" s="247"/>
      <c r="K20" s="128"/>
      <c r="L20" s="126"/>
      <c r="M20" s="128"/>
      <c r="N20" s="128"/>
      <c r="O20" s="128"/>
      <c r="P20" s="128"/>
      <c r="Q20" s="111"/>
      <c r="R20" s="111"/>
      <c r="S20" s="111"/>
      <c r="T20" s="111"/>
      <c r="U20" s="263">
        <f>'CF-Guide'!$M$3</f>
        <v>0</v>
      </c>
      <c r="V20" s="255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82" t="s">
        <v>65</v>
      </c>
      <c r="AU20" s="270">
        <v>9</v>
      </c>
      <c r="AV20" s="39">
        <f>VLOOKUP(AU20,$AL$51:$AV$71,11,FALSE)</f>
        <v>1300</v>
      </c>
      <c r="AW20" s="39">
        <f>VLOOKUP(AU20,$AL$51:$AU$71,10,FALSE)</f>
        <v>18</v>
      </c>
      <c r="AX20" s="271">
        <f>IFERROR(Tabelle24[[#This Row],[€]]/Tabelle24[[#This Row],[Backer]],"")</f>
        <v>72.222222222222229</v>
      </c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</row>
    <row r="21" spans="1:88" s="2" customFormat="1" ht="19.5" customHeight="1" x14ac:dyDescent="0.3">
      <c r="A21" s="111"/>
      <c r="B21" s="606"/>
      <c r="C21" s="251"/>
      <c r="D21" s="596"/>
      <c r="E21" s="596"/>
      <c r="F21" s="596"/>
      <c r="G21" s="128"/>
      <c r="H21" s="249"/>
      <c r="I21" s="247"/>
      <c r="J21" s="247"/>
      <c r="K21" s="128"/>
      <c r="L21" s="126"/>
      <c r="M21" s="128"/>
      <c r="N21" s="128"/>
      <c r="O21" s="128"/>
      <c r="P21" s="128"/>
      <c r="Q21" s="111"/>
      <c r="R21" s="111"/>
      <c r="S21" s="111"/>
      <c r="T21" s="111"/>
      <c r="U21" s="263">
        <f>'CF-Guide'!$N$3</f>
        <v>0</v>
      </c>
      <c r="V21" s="255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82" t="s">
        <v>66</v>
      </c>
      <c r="AU21" s="270">
        <v>15</v>
      </c>
      <c r="AV21" s="39">
        <f>VLOOKUP(AU21,$AL$51:$AV$71,11,FALSE)</f>
        <v>1298</v>
      </c>
      <c r="AW21" s="39">
        <f>VLOOKUP(AU21,$AL$51:$AU$71,10,FALSE)</f>
        <v>19</v>
      </c>
      <c r="AX21" s="271">
        <f>IFERROR(Tabelle24[[#This Row],[€]]/Tabelle24[[#This Row],[Backer]],"")</f>
        <v>68.315789473684205</v>
      </c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</row>
    <row r="22" spans="1:88" s="2" customFormat="1" ht="19.5" customHeight="1" x14ac:dyDescent="0.3">
      <c r="A22" s="111"/>
      <c r="B22" s="606"/>
      <c r="C22" s="250"/>
      <c r="D22" s="597" t="str">
        <f>"Erreichte Bonusziele: "&amp;V7&amp;", bis: '"&amp;VLOOKUP(V7,$C$32:$D$45,2,FALSE)&amp;"'"</f>
        <v>Erreichte Bonusziele: 12, bis: 'Mosaik für Öhrchen'</v>
      </c>
      <c r="E22" s="597"/>
      <c r="F22" s="597"/>
      <c r="G22" s="128"/>
      <c r="H22" s="239"/>
      <c r="I22" s="247"/>
      <c r="J22" s="247"/>
      <c r="K22" s="128"/>
      <c r="L22" s="126"/>
      <c r="M22" s="128"/>
      <c r="N22" s="128"/>
      <c r="O22" s="128"/>
      <c r="P22" s="128"/>
      <c r="Q22" s="111"/>
      <c r="R22" s="111"/>
      <c r="S22" s="111"/>
      <c r="T22" s="111"/>
      <c r="U22" s="263">
        <f>'CF-Guide'!$O$3</f>
        <v>0</v>
      </c>
      <c r="V22" s="255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37"/>
      <c r="AT22" s="82" t="s">
        <v>69</v>
      </c>
      <c r="AU22" s="270">
        <v>14</v>
      </c>
      <c r="AV22" s="39">
        <f>VLOOKUP(AU22,$AL$51:$AV$71,11,FALSE)</f>
        <v>1211</v>
      </c>
      <c r="AW22" s="39">
        <f>VLOOKUP(AU22,$AL$51:$AU$71,10,FALSE)</f>
        <v>17</v>
      </c>
      <c r="AX22" s="271">
        <f>IFERROR(Tabelle24[[#This Row],[€]]/Tabelle24[[#This Row],[Backer]],"")</f>
        <v>71.235294117647058</v>
      </c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</row>
    <row r="23" spans="1:88" s="44" customFormat="1" ht="19.5" thickBot="1" x14ac:dyDescent="0.35">
      <c r="A23" s="112"/>
      <c r="B23" s="607"/>
      <c r="C23" s="250"/>
      <c r="D23" s="598" t="s">
        <v>411</v>
      </c>
      <c r="E23" s="598"/>
      <c r="F23" s="598"/>
      <c r="G23" s="128"/>
      <c r="H23" s="238"/>
      <c r="I23" s="247"/>
      <c r="J23" s="247"/>
      <c r="K23" s="128"/>
      <c r="L23" s="126"/>
      <c r="M23" s="128"/>
      <c r="N23" s="128"/>
      <c r="O23" s="128"/>
      <c r="P23" s="128"/>
      <c r="Q23" s="128"/>
      <c r="R23" s="128"/>
      <c r="S23" s="128"/>
      <c r="T23" s="128"/>
      <c r="U23" s="263" t="str">
        <f>'CF-Guide'!$P$3</f>
        <v>Silberschwan</v>
      </c>
      <c r="V23" s="40">
        <v>419</v>
      </c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37"/>
      <c r="AT23" s="82" t="s">
        <v>67</v>
      </c>
      <c r="AU23" s="270">
        <v>16</v>
      </c>
      <c r="AV23" s="39">
        <f>VLOOKUP(AU23,$AL$51:$AV$71,11,FALSE)</f>
        <v>998</v>
      </c>
      <c r="AW23" s="39">
        <f>VLOOKUP(AU23,$AL$51:$AU$71,10,FALSE)</f>
        <v>11</v>
      </c>
      <c r="AX23" s="271">
        <f>IFERROR(Tabelle24[[#This Row],[€]]/Tabelle24[[#This Row],[Backer]],"")</f>
        <v>90.727272727272734</v>
      </c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</row>
    <row r="24" spans="1:88" s="2" customFormat="1" ht="20.25" x14ac:dyDescent="0.3">
      <c r="A24" s="117"/>
      <c r="B24" s="246"/>
      <c r="C24" s="128"/>
      <c r="D24" s="111"/>
      <c r="E24" s="128"/>
      <c r="F24" s="128"/>
      <c r="G24" s="128"/>
      <c r="H24" s="247"/>
      <c r="I24" s="247"/>
      <c r="J24" s="247"/>
      <c r="K24" s="128"/>
      <c r="L24" s="126"/>
      <c r="M24" s="128"/>
      <c r="N24" s="128"/>
      <c r="O24" s="128"/>
      <c r="P24" s="128"/>
      <c r="Q24" s="128"/>
      <c r="R24" s="128"/>
      <c r="S24" s="128"/>
      <c r="T24" s="128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82" t="s">
        <v>68</v>
      </c>
      <c r="AU24" s="270">
        <v>13</v>
      </c>
      <c r="AV24" s="39">
        <f>VLOOKUP(AU24,$AL$51:$AV$71,11,FALSE)</f>
        <v>840</v>
      </c>
      <c r="AW24" s="39">
        <f>VLOOKUP(AU24,$AL$51:$AU$71,10,FALSE)</f>
        <v>14</v>
      </c>
      <c r="AX24" s="271">
        <f>IFERROR(Tabelle24[[#This Row],[€]]/Tabelle24[[#This Row],[Backer]],"")</f>
        <v>60</v>
      </c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</row>
    <row r="25" spans="1:88" s="2" customFormat="1" ht="4.5" customHeight="1" thickBot="1" x14ac:dyDescent="0.35">
      <c r="A25" s="117"/>
      <c r="B25" s="111"/>
      <c r="C25" s="128"/>
      <c r="D25" s="111"/>
      <c r="E25" s="128"/>
      <c r="F25" s="128"/>
      <c r="G25" s="128"/>
      <c r="H25" s="247"/>
      <c r="I25" s="247"/>
      <c r="J25" s="247"/>
      <c r="K25" s="128"/>
      <c r="L25" s="126"/>
      <c r="M25" s="128"/>
      <c r="N25" s="128"/>
      <c r="O25" s="128"/>
      <c r="P25" s="128"/>
      <c r="Q25" s="128"/>
      <c r="R25" s="128"/>
      <c r="S25" s="128"/>
      <c r="T25" s="128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</row>
    <row r="26" spans="1:88" s="2" customFormat="1" ht="30" customHeight="1" thickBot="1" x14ac:dyDescent="0.35">
      <c r="A26" s="117"/>
      <c r="B26" s="602" t="s">
        <v>163</v>
      </c>
      <c r="C26" s="128"/>
      <c r="D26" s="584" t="s">
        <v>377</v>
      </c>
      <c r="E26" s="585"/>
      <c r="F26" s="586"/>
      <c r="G26" s="128"/>
      <c r="H26" s="247"/>
      <c r="I26" s="247"/>
      <c r="J26" s="247"/>
      <c r="K26" s="128"/>
      <c r="L26" s="126"/>
      <c r="M26" s="128"/>
      <c r="N26" s="128"/>
      <c r="O26" s="128"/>
      <c r="P26" s="128"/>
      <c r="Q26" s="128"/>
      <c r="R26" s="128"/>
      <c r="S26" s="128"/>
      <c r="T26" s="128"/>
      <c r="U26" s="26"/>
      <c r="V26" s="26"/>
      <c r="W26" s="41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</row>
    <row r="27" spans="1:88" s="2" customFormat="1" ht="30" customHeight="1" thickBot="1" x14ac:dyDescent="0.35">
      <c r="A27" s="117"/>
      <c r="B27" s="603"/>
      <c r="C27" s="128"/>
      <c r="D27" s="587" t="s">
        <v>0</v>
      </c>
      <c r="E27" s="588"/>
      <c r="F27" s="589"/>
      <c r="G27" s="128"/>
      <c r="H27" s="247"/>
      <c r="I27" s="247"/>
      <c r="J27" s="247"/>
      <c r="K27" s="128"/>
      <c r="L27" s="126"/>
      <c r="M27" s="128"/>
      <c r="N27" s="128"/>
      <c r="O27" s="128"/>
      <c r="P27" s="128"/>
      <c r="Q27" s="128"/>
      <c r="R27" s="128"/>
      <c r="S27" s="128"/>
      <c r="T27" s="128"/>
      <c r="U27" s="26"/>
      <c r="V27" s="26"/>
      <c r="W27" s="41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41"/>
      <c r="AI27" s="41"/>
      <c r="AJ27" s="41"/>
      <c r="AK27" s="41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</row>
    <row r="28" spans="1:88" s="2" customFormat="1" ht="15.75" customHeight="1" thickBot="1" x14ac:dyDescent="0.35">
      <c r="A28" s="117"/>
      <c r="B28" s="603"/>
      <c r="C28" s="128"/>
      <c r="D28" s="599" t="s">
        <v>378</v>
      </c>
      <c r="E28" s="600"/>
      <c r="F28" s="601"/>
      <c r="G28" s="128"/>
      <c r="H28" s="247"/>
      <c r="I28" s="247"/>
      <c r="J28" s="247"/>
      <c r="K28" s="128"/>
      <c r="L28" s="126"/>
      <c r="M28" s="128"/>
      <c r="N28" s="128"/>
      <c r="O28" s="128"/>
      <c r="P28" s="128"/>
      <c r="Q28" s="128"/>
      <c r="R28" s="128"/>
      <c r="S28" s="128"/>
      <c r="T28" s="128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41"/>
      <c r="AI28" s="41"/>
      <c r="AJ28" s="41"/>
      <c r="AK28" s="41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</row>
    <row r="29" spans="1:88" s="2" customFormat="1" ht="15" customHeight="1" thickBot="1" x14ac:dyDescent="0.35">
      <c r="A29" s="117"/>
      <c r="B29" s="603"/>
      <c r="C29" s="128"/>
      <c r="D29" s="599"/>
      <c r="E29" s="600"/>
      <c r="F29" s="601"/>
      <c r="G29" s="128"/>
      <c r="H29" s="247"/>
      <c r="I29" s="247"/>
      <c r="J29" s="247"/>
      <c r="K29" s="128"/>
      <c r="L29" s="126"/>
      <c r="M29" s="128"/>
      <c r="N29" s="128"/>
      <c r="O29" s="128"/>
      <c r="P29" s="128"/>
      <c r="Q29" s="128"/>
      <c r="R29" s="128"/>
      <c r="S29" s="128"/>
      <c r="T29" s="128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41"/>
      <c r="AI29" s="41"/>
      <c r="AJ29" s="41"/>
      <c r="AK29" s="41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</row>
    <row r="30" spans="1:88" s="2" customFormat="1" ht="18" customHeight="1" thickBot="1" x14ac:dyDescent="0.35">
      <c r="A30" s="117"/>
      <c r="B30" s="604"/>
      <c r="C30" s="128"/>
      <c r="D30" s="599"/>
      <c r="E30" s="600"/>
      <c r="F30" s="601"/>
      <c r="G30" s="128"/>
      <c r="H30" s="247"/>
      <c r="I30" s="247"/>
      <c r="J30" s="247"/>
      <c r="K30" s="128"/>
      <c r="L30" s="126"/>
      <c r="M30" s="128"/>
      <c r="N30" s="128"/>
      <c r="O30" s="128"/>
      <c r="P30" s="128"/>
      <c r="Q30" s="128"/>
      <c r="R30" s="128"/>
      <c r="S30" s="128"/>
      <c r="T30" s="128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41"/>
      <c r="AI30" s="41"/>
      <c r="AJ30" s="41"/>
      <c r="AK30" s="41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</row>
    <row r="31" spans="1:88" s="2" customFormat="1" ht="15" customHeight="1" x14ac:dyDescent="0.3">
      <c r="A31" s="117"/>
      <c r="B31" s="111"/>
      <c r="C31" s="128"/>
      <c r="D31" s="111"/>
      <c r="E31" s="128"/>
      <c r="F31" s="240"/>
      <c r="G31" s="128"/>
      <c r="H31" s="247"/>
      <c r="I31" s="247"/>
      <c r="J31" s="247"/>
      <c r="K31" s="128"/>
      <c r="L31" s="126"/>
      <c r="M31" s="128"/>
      <c r="N31" s="128"/>
      <c r="O31" s="128"/>
      <c r="P31" s="128"/>
      <c r="Q31" s="128"/>
      <c r="R31" s="128"/>
      <c r="S31" s="128"/>
      <c r="T31" s="128"/>
      <c r="U31" s="26"/>
      <c r="V31" s="26"/>
      <c r="W31" s="26"/>
      <c r="X31" s="26"/>
      <c r="Y31" s="26"/>
      <c r="Z31" s="26"/>
      <c r="AA31" s="26"/>
      <c r="AB31" s="26"/>
      <c r="AC31" s="26"/>
      <c r="AD31" s="41"/>
      <c r="AE31" s="41"/>
      <c r="AF31" s="41"/>
      <c r="AG31" s="41"/>
      <c r="AH31" s="41"/>
      <c r="AI31" s="41"/>
      <c r="AJ31" s="41"/>
      <c r="AK31" s="41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</row>
    <row r="32" spans="1:88" s="178" customFormat="1" ht="18" hidden="1" customHeight="1" outlineLevel="1" x14ac:dyDescent="0.3">
      <c r="A32" s="176"/>
      <c r="B32" s="155"/>
      <c r="C32" s="48">
        <v>0</v>
      </c>
      <c r="D32" s="324" t="s">
        <v>240</v>
      </c>
      <c r="E32" s="325">
        <v>5000</v>
      </c>
      <c r="F32" s="326"/>
      <c r="G32" s="326"/>
      <c r="H32" s="326"/>
      <c r="I32" s="326"/>
      <c r="J32" s="326"/>
      <c r="K32" s="275"/>
      <c r="L32" s="327"/>
      <c r="M32" s="275"/>
      <c r="N32" s="275"/>
      <c r="O32" s="275"/>
      <c r="P32" s="275"/>
      <c r="Q32" s="275"/>
      <c r="R32" s="275"/>
      <c r="S32" s="275"/>
      <c r="T32" s="275"/>
      <c r="U32" s="177"/>
      <c r="V32" s="177"/>
      <c r="W32" s="177"/>
      <c r="X32" s="177"/>
      <c r="Y32" s="177"/>
      <c r="Z32" s="177"/>
      <c r="AA32" s="177"/>
      <c r="AB32" s="177"/>
      <c r="AC32" s="177"/>
      <c r="AD32" s="275"/>
      <c r="AE32" s="275"/>
      <c r="AF32" s="275"/>
      <c r="AG32" s="275"/>
      <c r="AH32" s="275"/>
      <c r="AI32" s="275"/>
      <c r="AJ32" s="275"/>
      <c r="AK32" s="27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</row>
    <row r="33" spans="1:84" s="178" customFormat="1" ht="18" hidden="1" customHeight="1" outlineLevel="1" thickBot="1" x14ac:dyDescent="0.35">
      <c r="A33" s="176"/>
      <c r="B33" s="155"/>
      <c r="C33" s="48">
        <v>1</v>
      </c>
      <c r="D33" s="324" t="s">
        <v>241</v>
      </c>
      <c r="E33" s="325">
        <f>E32+2500</f>
        <v>7500</v>
      </c>
      <c r="F33" s="326"/>
      <c r="G33" s="326"/>
      <c r="H33" s="326"/>
      <c r="I33" s="326"/>
      <c r="J33" s="326"/>
      <c r="K33" s="275"/>
      <c r="L33" s="327"/>
      <c r="M33" s="275"/>
      <c r="N33" s="275"/>
      <c r="O33" s="275"/>
      <c r="P33" s="275"/>
      <c r="Q33" s="275"/>
      <c r="R33" s="275"/>
      <c r="S33" s="275"/>
      <c r="T33" s="275"/>
      <c r="U33" s="177"/>
      <c r="V33" s="177"/>
      <c r="W33" s="177"/>
      <c r="X33" s="177"/>
      <c r="Y33" s="177"/>
      <c r="Z33" s="177"/>
      <c r="AA33" s="177"/>
      <c r="AB33" s="177"/>
      <c r="AC33" s="177"/>
      <c r="AD33" s="275"/>
      <c r="AE33" s="275"/>
      <c r="AF33" s="275"/>
      <c r="AG33" s="275"/>
      <c r="AH33" s="275"/>
      <c r="AI33" s="275"/>
      <c r="AJ33" s="275"/>
      <c r="AK33" s="27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</row>
    <row r="34" spans="1:84" s="178" customFormat="1" ht="18" hidden="1" customHeight="1" outlineLevel="1" thickBot="1" x14ac:dyDescent="0.35">
      <c r="A34" s="176"/>
      <c r="B34" s="155"/>
      <c r="C34" s="48">
        <v>2</v>
      </c>
      <c r="D34" s="324" t="s">
        <v>242</v>
      </c>
      <c r="E34" s="325">
        <f t="shared" ref="E34:E35" si="0">E33+2500</f>
        <v>10000</v>
      </c>
      <c r="F34" s="326"/>
      <c r="G34" s="326"/>
      <c r="H34" s="326"/>
      <c r="I34" s="326"/>
      <c r="J34" s="326"/>
      <c r="K34" s="275"/>
      <c r="L34" s="327"/>
      <c r="M34" s="275"/>
      <c r="N34" s="275"/>
      <c r="O34" s="275"/>
      <c r="P34" s="275"/>
      <c r="Q34" s="275"/>
      <c r="R34" s="275"/>
      <c r="S34" s="275"/>
      <c r="T34" s="275"/>
      <c r="U34" s="177"/>
      <c r="V34" s="177"/>
      <c r="W34" s="177"/>
      <c r="X34" s="177"/>
      <c r="Y34" s="177"/>
      <c r="Z34" s="177"/>
      <c r="AA34" s="177"/>
      <c r="AB34" s="177"/>
      <c r="AC34" s="177"/>
      <c r="AD34" s="275"/>
      <c r="AE34" s="275"/>
      <c r="AF34" s="275"/>
      <c r="AG34" s="275"/>
      <c r="AH34" s="275"/>
      <c r="AI34" s="275"/>
      <c r="AJ34" s="275"/>
      <c r="AK34" s="27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</row>
    <row r="35" spans="1:84" s="178" customFormat="1" ht="18" hidden="1" customHeight="1" outlineLevel="1" thickBot="1" x14ac:dyDescent="0.35">
      <c r="A35" s="176"/>
      <c r="B35" s="155"/>
      <c r="C35" s="48">
        <v>3</v>
      </c>
      <c r="D35" s="324" t="s">
        <v>243</v>
      </c>
      <c r="E35" s="325">
        <f t="shared" si="0"/>
        <v>12500</v>
      </c>
      <c r="F35" s="326"/>
      <c r="G35" s="326"/>
      <c r="H35" s="326"/>
      <c r="I35" s="326"/>
      <c r="J35" s="326"/>
      <c r="K35" s="275"/>
      <c r="L35" s="327"/>
      <c r="M35" s="275"/>
      <c r="N35" s="275"/>
      <c r="O35" s="275"/>
      <c r="P35" s="275"/>
      <c r="Q35" s="275"/>
      <c r="R35" s="275"/>
      <c r="S35" s="275"/>
      <c r="T35" s="275"/>
      <c r="U35" s="155"/>
      <c r="V35" s="155"/>
      <c r="W35" s="155"/>
      <c r="X35" s="155"/>
      <c r="Y35" s="155"/>
      <c r="Z35" s="155"/>
      <c r="AA35" s="155"/>
      <c r="AB35" s="155"/>
      <c r="AC35" s="155"/>
      <c r="AD35" s="275"/>
      <c r="AE35" s="275"/>
      <c r="AF35" s="275"/>
      <c r="AG35" s="275"/>
      <c r="AH35" s="275"/>
      <c r="AI35" s="275"/>
      <c r="AJ35" s="275"/>
      <c r="AK35" s="27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</row>
    <row r="36" spans="1:84" s="178" customFormat="1" ht="18" hidden="1" customHeight="1" outlineLevel="1" thickBot="1" x14ac:dyDescent="0.35">
      <c r="A36" s="176"/>
      <c r="B36" s="155"/>
      <c r="C36" s="48">
        <v>4</v>
      </c>
      <c r="D36" s="324" t="s">
        <v>244</v>
      </c>
      <c r="E36" s="325">
        <f>E35+2500</f>
        <v>15000</v>
      </c>
      <c r="F36" s="326"/>
      <c r="G36" s="326"/>
      <c r="H36" s="326"/>
      <c r="I36" s="326"/>
      <c r="J36" s="326"/>
      <c r="K36" s="275"/>
      <c r="L36" s="327"/>
      <c r="M36" s="275"/>
      <c r="N36" s="275"/>
      <c r="O36" s="275"/>
      <c r="P36" s="275"/>
      <c r="Q36" s="275"/>
      <c r="R36" s="275"/>
      <c r="S36" s="275"/>
      <c r="T36" s="275"/>
      <c r="U36" s="155"/>
      <c r="V36" s="155"/>
      <c r="W36" s="155"/>
      <c r="X36" s="155"/>
      <c r="Y36" s="155"/>
      <c r="Z36" s="155"/>
      <c r="AA36" s="155"/>
      <c r="AB36" s="155"/>
      <c r="AC36" s="155"/>
      <c r="AD36" s="275"/>
      <c r="AE36" s="275"/>
      <c r="AF36" s="275"/>
      <c r="AG36" s="275"/>
      <c r="AH36" s="275"/>
      <c r="AI36" s="275"/>
      <c r="AJ36" s="275"/>
      <c r="AK36" s="27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</row>
    <row r="37" spans="1:84" s="178" customFormat="1" ht="18" hidden="1" customHeight="1" outlineLevel="1" thickBot="1" x14ac:dyDescent="0.35">
      <c r="A37" s="176"/>
      <c r="B37" s="155"/>
      <c r="C37" s="48">
        <v>5</v>
      </c>
      <c r="D37" s="324" t="s">
        <v>245</v>
      </c>
      <c r="E37" s="325">
        <f>E36+5000</f>
        <v>20000</v>
      </c>
      <c r="F37" s="326"/>
      <c r="G37" s="326"/>
      <c r="H37" s="326"/>
      <c r="I37" s="326"/>
      <c r="J37" s="326"/>
      <c r="K37" s="275"/>
      <c r="L37" s="327"/>
      <c r="M37" s="275"/>
      <c r="N37" s="275"/>
      <c r="O37" s="275"/>
      <c r="P37" s="275"/>
      <c r="Q37" s="275"/>
      <c r="R37" s="275"/>
      <c r="S37" s="275"/>
      <c r="T37" s="275"/>
      <c r="U37" s="155"/>
      <c r="V37" s="155"/>
      <c r="W37" s="155"/>
      <c r="X37" s="155"/>
      <c r="Y37" s="155"/>
      <c r="Z37" s="155"/>
      <c r="AA37" s="155"/>
      <c r="AB37" s="155"/>
      <c r="AC37" s="155"/>
      <c r="AD37" s="275"/>
      <c r="AE37" s="275"/>
      <c r="AF37" s="275"/>
      <c r="AG37" s="275"/>
      <c r="AH37" s="275"/>
      <c r="AI37" s="275"/>
      <c r="AJ37" s="275"/>
      <c r="AK37" s="27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</row>
    <row r="38" spans="1:84" s="178" customFormat="1" ht="18" hidden="1" customHeight="1" outlineLevel="1" thickBot="1" x14ac:dyDescent="0.35">
      <c r="A38" s="176"/>
      <c r="B38" s="155"/>
      <c r="C38" s="48">
        <v>6</v>
      </c>
      <c r="D38" s="324" t="s">
        <v>263</v>
      </c>
      <c r="E38" s="325">
        <f t="shared" ref="E38:E43" si="1">E37+5000</f>
        <v>25000</v>
      </c>
      <c r="F38" s="326"/>
      <c r="G38" s="326"/>
      <c r="H38" s="326"/>
      <c r="I38" s="326"/>
      <c r="J38" s="326"/>
      <c r="K38" s="275"/>
      <c r="L38" s="327"/>
      <c r="M38" s="275"/>
      <c r="N38" s="275"/>
      <c r="O38" s="275"/>
      <c r="P38" s="275"/>
      <c r="Q38" s="275"/>
      <c r="R38" s="275"/>
      <c r="S38" s="275"/>
      <c r="T38" s="275"/>
      <c r="U38" s="155"/>
      <c r="V38" s="155"/>
      <c r="W38" s="155"/>
      <c r="X38" s="155"/>
      <c r="Y38" s="155"/>
      <c r="Z38" s="155"/>
      <c r="AA38" s="155"/>
      <c r="AB38" s="155"/>
      <c r="AC38" s="155"/>
      <c r="AD38" s="275"/>
      <c r="AE38" s="275"/>
      <c r="AF38" s="275"/>
      <c r="AG38" s="275"/>
      <c r="AH38" s="275"/>
      <c r="AI38" s="275"/>
      <c r="AJ38" s="275"/>
      <c r="AK38" s="27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</row>
    <row r="39" spans="1:84" s="178" customFormat="1" ht="18" hidden="1" customHeight="1" outlineLevel="1" thickBot="1" x14ac:dyDescent="0.35">
      <c r="A39" s="176"/>
      <c r="B39" s="155"/>
      <c r="C39" s="48">
        <v>7</v>
      </c>
      <c r="D39" s="324" t="s">
        <v>246</v>
      </c>
      <c r="E39" s="325">
        <f t="shared" si="1"/>
        <v>30000</v>
      </c>
      <c r="F39" s="326"/>
      <c r="G39" s="326"/>
      <c r="H39" s="326"/>
      <c r="I39" s="326"/>
      <c r="J39" s="326"/>
      <c r="K39" s="275"/>
      <c r="L39" s="327"/>
      <c r="M39" s="275"/>
      <c r="N39" s="275"/>
      <c r="O39" s="275"/>
      <c r="P39" s="275"/>
      <c r="Q39" s="275"/>
      <c r="R39" s="275"/>
      <c r="S39" s="275"/>
      <c r="T39" s="275"/>
      <c r="U39" s="155"/>
      <c r="V39" s="155"/>
      <c r="W39" s="155"/>
      <c r="X39" s="155"/>
      <c r="Y39" s="155"/>
      <c r="Z39" s="155"/>
      <c r="AA39" s="155"/>
      <c r="AB39" s="155"/>
      <c r="AC39" s="155"/>
      <c r="AD39" s="275"/>
      <c r="AE39" s="275"/>
      <c r="AF39" s="275"/>
      <c r="AG39" s="275"/>
      <c r="AH39" s="275"/>
      <c r="AI39" s="275"/>
      <c r="AJ39" s="275"/>
      <c r="AK39" s="27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</row>
    <row r="40" spans="1:84" s="178" customFormat="1" ht="18" hidden="1" customHeight="1" outlineLevel="1" thickBot="1" x14ac:dyDescent="0.35">
      <c r="A40" s="176"/>
      <c r="B40" s="155"/>
      <c r="C40" s="48">
        <v>8</v>
      </c>
      <c r="D40" s="324" t="s">
        <v>247</v>
      </c>
      <c r="E40" s="325">
        <f t="shared" si="1"/>
        <v>35000</v>
      </c>
      <c r="F40" s="357"/>
      <c r="G40" s="357"/>
      <c r="H40" s="357"/>
      <c r="I40" s="357"/>
      <c r="J40" s="357"/>
      <c r="K40" s="275"/>
      <c r="L40" s="327"/>
      <c r="M40" s="275"/>
      <c r="N40" s="275"/>
      <c r="O40" s="275"/>
      <c r="P40" s="275"/>
      <c r="Q40" s="275"/>
      <c r="R40" s="275"/>
      <c r="S40" s="275"/>
      <c r="T40" s="275"/>
      <c r="U40" s="155"/>
      <c r="V40" s="155"/>
      <c r="W40" s="155"/>
      <c r="X40" s="155"/>
      <c r="Y40" s="155"/>
      <c r="Z40" s="155"/>
      <c r="AA40" s="155"/>
      <c r="AB40" s="155"/>
      <c r="AC40" s="155"/>
      <c r="AD40" s="275"/>
      <c r="AE40" s="275"/>
      <c r="AF40" s="275"/>
      <c r="AG40" s="275"/>
      <c r="AH40" s="275"/>
      <c r="AI40" s="275"/>
      <c r="AJ40" s="275"/>
      <c r="AK40" s="27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</row>
    <row r="41" spans="1:84" s="178" customFormat="1" ht="18" hidden="1" customHeight="1" outlineLevel="1" thickBot="1" x14ac:dyDescent="0.35">
      <c r="A41" s="176"/>
      <c r="B41" s="155"/>
      <c r="C41" s="48">
        <v>9</v>
      </c>
      <c r="D41" s="324" t="s">
        <v>248</v>
      </c>
      <c r="E41" s="325">
        <f t="shared" si="1"/>
        <v>40000</v>
      </c>
      <c r="F41" s="326"/>
      <c r="G41" s="326"/>
      <c r="H41" s="326"/>
      <c r="I41" s="326"/>
      <c r="J41" s="326"/>
      <c r="K41" s="275"/>
      <c r="L41" s="327"/>
      <c r="M41" s="275"/>
      <c r="N41" s="275"/>
      <c r="O41" s="275"/>
      <c r="P41" s="275"/>
      <c r="Q41" s="275"/>
      <c r="R41" s="275"/>
      <c r="S41" s="275"/>
      <c r="T41" s="275"/>
      <c r="U41" s="155"/>
      <c r="V41" s="155"/>
      <c r="W41" s="155"/>
      <c r="X41" s="155"/>
      <c r="Y41" s="155"/>
      <c r="Z41" s="155"/>
      <c r="AA41" s="155"/>
      <c r="AB41" s="155"/>
      <c r="AC41" s="155"/>
      <c r="AD41" s="275"/>
      <c r="AE41" s="275"/>
      <c r="AF41" s="275"/>
      <c r="AG41" s="275"/>
      <c r="AH41" s="275"/>
      <c r="AI41" s="275"/>
      <c r="AJ41" s="275"/>
      <c r="AK41" s="27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</row>
    <row r="42" spans="1:84" s="178" customFormat="1" ht="18" hidden="1" customHeight="1" outlineLevel="1" thickBot="1" x14ac:dyDescent="0.35">
      <c r="A42" s="176"/>
      <c r="B42" s="155"/>
      <c r="C42" s="48">
        <v>10</v>
      </c>
      <c r="D42" s="324" t="s">
        <v>249</v>
      </c>
      <c r="E42" s="325">
        <f t="shared" si="1"/>
        <v>45000</v>
      </c>
      <c r="F42" s="326"/>
      <c r="G42" s="326"/>
      <c r="H42" s="326"/>
      <c r="I42" s="326"/>
      <c r="J42" s="326"/>
      <c r="K42" s="275"/>
      <c r="L42" s="327"/>
      <c r="M42" s="275"/>
      <c r="N42" s="275"/>
      <c r="O42" s="275"/>
      <c r="P42" s="275"/>
      <c r="Q42" s="275"/>
      <c r="R42" s="275"/>
      <c r="S42" s="275"/>
      <c r="T42" s="275"/>
      <c r="U42" s="155"/>
      <c r="V42" s="155"/>
      <c r="W42" s="155"/>
      <c r="X42" s="155"/>
      <c r="Y42" s="155"/>
      <c r="Z42" s="155"/>
      <c r="AA42" s="155"/>
      <c r="AB42" s="155"/>
      <c r="AC42" s="155"/>
      <c r="AD42" s="275"/>
      <c r="AE42" s="275"/>
      <c r="AF42" s="275"/>
      <c r="AG42" s="275"/>
      <c r="AH42" s="275"/>
      <c r="AI42" s="275"/>
      <c r="AJ42" s="275"/>
      <c r="AK42" s="27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</row>
    <row r="43" spans="1:84" s="178" customFormat="1" ht="18" hidden="1" customHeight="1" outlineLevel="1" thickBot="1" x14ac:dyDescent="0.35">
      <c r="A43" s="176"/>
      <c r="B43" s="155"/>
      <c r="C43" s="48">
        <v>11</v>
      </c>
      <c r="D43" s="324" t="s">
        <v>250</v>
      </c>
      <c r="E43" s="325">
        <f t="shared" si="1"/>
        <v>50000</v>
      </c>
      <c r="F43" s="326"/>
      <c r="G43" s="326"/>
      <c r="H43" s="326"/>
      <c r="I43" s="326"/>
      <c r="J43" s="326"/>
      <c r="K43" s="275"/>
      <c r="L43" s="327"/>
      <c r="M43" s="275"/>
      <c r="N43" s="275"/>
      <c r="O43" s="275"/>
      <c r="P43" s="275"/>
      <c r="Q43" s="275"/>
      <c r="R43" s="275"/>
      <c r="S43" s="275"/>
      <c r="T43" s="275"/>
      <c r="U43" s="155"/>
      <c r="V43" s="155"/>
      <c r="W43" s="155"/>
      <c r="X43" s="155"/>
      <c r="Y43" s="155"/>
      <c r="Z43" s="155"/>
      <c r="AA43" s="155"/>
      <c r="AB43" s="155"/>
      <c r="AC43" s="155"/>
      <c r="AD43" s="275"/>
      <c r="AE43" s="275"/>
      <c r="AF43" s="275"/>
      <c r="AG43" s="275"/>
      <c r="AH43" s="275"/>
      <c r="AI43" s="275"/>
      <c r="AJ43" s="275"/>
      <c r="AK43" s="27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</row>
    <row r="44" spans="1:84" s="175" customFormat="1" ht="18" hidden="1" customHeight="1" outlineLevel="1" thickBot="1" x14ac:dyDescent="0.35">
      <c r="A44" s="173"/>
      <c r="B44" s="26"/>
      <c r="C44" s="81">
        <v>12</v>
      </c>
      <c r="D44" s="174" t="s">
        <v>251</v>
      </c>
      <c r="E44" s="150">
        <v>75000</v>
      </c>
      <c r="F44" s="195"/>
      <c r="G44" s="195"/>
      <c r="H44" s="195"/>
      <c r="I44" s="195"/>
      <c r="J44" s="195"/>
      <c r="K44" s="41"/>
      <c r="L44" s="63"/>
      <c r="M44" s="41"/>
      <c r="N44" s="41"/>
      <c r="O44" s="41"/>
      <c r="P44" s="41"/>
      <c r="Q44" s="41"/>
      <c r="R44" s="41"/>
      <c r="S44" s="41"/>
      <c r="T44" s="41"/>
      <c r="U44" s="26"/>
      <c r="V44" s="26"/>
      <c r="W44" s="26"/>
      <c r="X44" s="26"/>
      <c r="Y44" s="26"/>
      <c r="Z44" s="26"/>
      <c r="AA44" s="26"/>
      <c r="AB44" s="26"/>
      <c r="AC44" s="26"/>
      <c r="AD44" s="41"/>
      <c r="AE44" s="41"/>
      <c r="AF44" s="41"/>
      <c r="AG44" s="41"/>
      <c r="AH44" s="41"/>
      <c r="AI44" s="41"/>
      <c r="AJ44" s="41"/>
      <c r="AK44" s="41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</row>
    <row r="45" spans="1:84" s="175" customFormat="1" ht="18" hidden="1" customHeight="1" outlineLevel="1" thickBot="1" x14ac:dyDescent="0.35">
      <c r="A45" s="173"/>
      <c r="B45" s="26"/>
      <c r="C45" s="81">
        <v>13</v>
      </c>
      <c r="D45" s="174" t="s">
        <v>121</v>
      </c>
      <c r="E45" s="150"/>
      <c r="F45" s="195"/>
      <c r="G45" s="195"/>
      <c r="H45" s="195"/>
      <c r="I45" s="195"/>
      <c r="J45" s="195"/>
      <c r="K45" s="41"/>
      <c r="L45" s="63"/>
      <c r="M45" s="41"/>
      <c r="N45" s="41"/>
      <c r="O45" s="41"/>
      <c r="P45" s="41"/>
      <c r="Q45" s="41"/>
      <c r="R45" s="41"/>
      <c r="S45" s="41"/>
      <c r="T45" s="41"/>
      <c r="U45" s="26"/>
      <c r="V45" s="26"/>
      <c r="W45" s="26"/>
      <c r="X45" s="26"/>
      <c r="Y45" s="26"/>
      <c r="Z45" s="26"/>
      <c r="AA45" s="26"/>
      <c r="AB45" s="26"/>
      <c r="AC45" s="26"/>
      <c r="AD45" s="41"/>
      <c r="AE45" s="41"/>
      <c r="AF45" s="41"/>
      <c r="AG45" s="41"/>
      <c r="AH45" s="41"/>
      <c r="AI45" s="41"/>
      <c r="AJ45" s="41"/>
      <c r="AK45" s="41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</row>
    <row r="46" spans="1:84" s="2" customFormat="1" ht="4.5" customHeight="1" collapsed="1" thickBot="1" x14ac:dyDescent="0.35">
      <c r="A46" s="117"/>
      <c r="B46" s="111"/>
      <c r="C46" s="128"/>
      <c r="D46" s="111"/>
      <c r="E46" s="111"/>
      <c r="F46" s="128"/>
      <c r="G46" s="128"/>
      <c r="H46" s="247"/>
      <c r="I46" s="247"/>
      <c r="J46" s="247"/>
      <c r="K46" s="128"/>
      <c r="L46" s="126"/>
      <c r="M46" s="128"/>
      <c r="N46" s="128"/>
      <c r="O46" s="128"/>
      <c r="P46" s="128"/>
      <c r="Q46" s="128"/>
      <c r="R46" s="128"/>
      <c r="S46" s="128"/>
      <c r="T46" s="128"/>
      <c r="U46" s="26"/>
      <c r="V46" s="26"/>
      <c r="W46" s="26"/>
      <c r="X46" s="26"/>
      <c r="Y46" s="26"/>
      <c r="Z46" s="26"/>
      <c r="AA46" s="26"/>
      <c r="AB46" s="26"/>
      <c r="AC46" s="26"/>
      <c r="AD46" s="41"/>
      <c r="AE46" s="41"/>
      <c r="AF46" s="41"/>
      <c r="AG46" s="41"/>
      <c r="AH46" s="41"/>
      <c r="AI46" s="41"/>
      <c r="AJ46" s="41"/>
      <c r="AK46" s="41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</row>
    <row r="47" spans="1:84" s="2" customFormat="1" ht="19.5" thickBot="1" x14ac:dyDescent="0.35">
      <c r="A47" s="117"/>
      <c r="B47" s="593" t="s">
        <v>384</v>
      </c>
      <c r="C47" s="594"/>
      <c r="D47" s="594"/>
      <c r="E47" s="594"/>
      <c r="F47" s="595"/>
      <c r="G47" s="128"/>
      <c r="H47" s="247"/>
      <c r="I47" s="631" t="s">
        <v>418</v>
      </c>
      <c r="J47" s="632"/>
      <c r="K47" s="633"/>
      <c r="L47" s="610" t="s">
        <v>166</v>
      </c>
      <c r="M47" s="612"/>
      <c r="N47" s="610" t="s">
        <v>167</v>
      </c>
      <c r="O47" s="611"/>
      <c r="P47" s="611"/>
      <c r="Q47" s="611"/>
      <c r="R47" s="611"/>
      <c r="S47" s="611"/>
      <c r="T47" s="612"/>
      <c r="U47" s="26"/>
      <c r="V47" s="26"/>
      <c r="W47" s="610" t="s">
        <v>167</v>
      </c>
      <c r="X47" s="611"/>
      <c r="Y47" s="611"/>
      <c r="Z47" s="611"/>
      <c r="AA47" s="611"/>
      <c r="AB47" s="611"/>
      <c r="AC47" s="612"/>
      <c r="AD47" s="610" t="s">
        <v>167</v>
      </c>
      <c r="AE47" s="611"/>
      <c r="AF47" s="611"/>
      <c r="AG47" s="611"/>
      <c r="AH47" s="611"/>
      <c r="AI47" s="611"/>
      <c r="AJ47" s="612"/>
      <c r="AK47" s="355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</row>
    <row r="48" spans="1:84" s="2" customFormat="1" ht="18.75" x14ac:dyDescent="0.3">
      <c r="A48" s="117"/>
      <c r="B48" s="111"/>
      <c r="C48" s="128"/>
      <c r="D48" s="111"/>
      <c r="E48" s="128"/>
      <c r="F48" s="128"/>
      <c r="G48" s="128"/>
      <c r="H48" s="247"/>
      <c r="I48" s="474" t="s">
        <v>16</v>
      </c>
      <c r="J48" s="282"/>
      <c r="K48" s="283"/>
      <c r="L48" s="297" t="s">
        <v>118</v>
      </c>
      <c r="M48" s="283" t="s">
        <v>117</v>
      </c>
      <c r="N48" s="514" t="s">
        <v>16</v>
      </c>
      <c r="O48" s="515" t="s">
        <v>16</v>
      </c>
      <c r="P48" s="477" t="s">
        <v>16</v>
      </c>
      <c r="Q48" s="516" t="s">
        <v>16</v>
      </c>
      <c r="R48" s="468" t="s">
        <v>16</v>
      </c>
      <c r="S48" s="487" t="s">
        <v>16</v>
      </c>
      <c r="T48" s="517" t="s">
        <v>16</v>
      </c>
      <c r="U48" s="26"/>
      <c r="V48" s="26"/>
      <c r="W48" s="346" t="s">
        <v>16</v>
      </c>
      <c r="X48" s="460" t="s">
        <v>16</v>
      </c>
      <c r="Y48" s="462" t="s">
        <v>16</v>
      </c>
      <c r="AA48" s="461" t="s">
        <v>16</v>
      </c>
      <c r="AC48" s="470" t="s">
        <v>16</v>
      </c>
      <c r="AI48" s="126" t="s">
        <v>16</v>
      </c>
      <c r="AJ48" s="468" t="s">
        <v>16</v>
      </c>
      <c r="AK48" s="352"/>
      <c r="AL48" s="26"/>
      <c r="AM48" s="26"/>
      <c r="AN48" s="26"/>
      <c r="AO48" s="26"/>
      <c r="AP48" s="26"/>
      <c r="AQ48" s="26"/>
      <c r="AR48" s="26"/>
      <c r="AS48" s="634" t="s">
        <v>81</v>
      </c>
      <c r="AT48" s="634"/>
      <c r="AU48" s="26"/>
      <c r="AV48" s="26"/>
      <c r="AW48" s="26"/>
      <c r="AX48" s="26"/>
      <c r="AY48" s="26"/>
      <c r="AZ48" s="635" t="s">
        <v>115</v>
      </c>
      <c r="BA48" s="635"/>
      <c r="BB48" s="636" t="s">
        <v>116</v>
      </c>
      <c r="BC48" s="636"/>
      <c r="BD48" s="622" t="s">
        <v>78</v>
      </c>
      <c r="BE48" s="623"/>
      <c r="BF48" s="623"/>
      <c r="BG48" s="624"/>
      <c r="BH48" s="622" t="s">
        <v>79</v>
      </c>
      <c r="BI48" s="623"/>
      <c r="BJ48" s="623"/>
      <c r="BK48" s="624"/>
      <c r="BL48" s="26"/>
      <c r="BM48" s="26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</row>
    <row r="49" spans="1:84" s="62" customFormat="1" ht="30.75" thickBot="1" x14ac:dyDescent="0.35">
      <c r="A49" s="118"/>
      <c r="B49" s="126"/>
      <c r="C49" s="126"/>
      <c r="D49" s="126"/>
      <c r="E49" s="126"/>
      <c r="F49" s="126"/>
      <c r="G49" s="267" t="s">
        <v>31</v>
      </c>
      <c r="H49" s="267" t="s">
        <v>14</v>
      </c>
      <c r="I49" s="475" t="s">
        <v>417</v>
      </c>
      <c r="J49" s="284"/>
      <c r="K49" s="285"/>
      <c r="L49" s="298" t="s">
        <v>166</v>
      </c>
      <c r="M49" s="285" t="s">
        <v>166</v>
      </c>
      <c r="N49" s="514" t="s">
        <v>188</v>
      </c>
      <c r="O49" s="515" t="s">
        <v>190</v>
      </c>
      <c r="P49" s="478" t="s">
        <v>151</v>
      </c>
      <c r="Q49" s="518" t="s">
        <v>152</v>
      </c>
      <c r="R49" s="479" t="s">
        <v>160</v>
      </c>
      <c r="S49" s="488" t="s">
        <v>339</v>
      </c>
      <c r="T49" s="519" t="s">
        <v>338</v>
      </c>
      <c r="U49" s="63"/>
      <c r="V49" s="63"/>
      <c r="W49" s="346" t="s">
        <v>187</v>
      </c>
      <c r="X49" s="460" t="s">
        <v>189</v>
      </c>
      <c r="Y49" s="462" t="s">
        <v>191</v>
      </c>
      <c r="AA49" s="461" t="s">
        <v>98</v>
      </c>
      <c r="AC49" s="470" t="s">
        <v>337</v>
      </c>
      <c r="AI49" s="480"/>
      <c r="AJ49" s="479"/>
      <c r="AK49" s="353"/>
      <c r="AL49" s="59" t="s">
        <v>31</v>
      </c>
      <c r="AM49" s="447" t="s">
        <v>32</v>
      </c>
      <c r="AN49" s="447" t="s">
        <v>14</v>
      </c>
      <c r="AO49" s="59" t="s">
        <v>34</v>
      </c>
      <c r="AP49" s="59" t="s">
        <v>33</v>
      </c>
      <c r="AQ49" s="59" t="s">
        <v>35</v>
      </c>
      <c r="AR49" s="59" t="s">
        <v>36</v>
      </c>
      <c r="AS49" s="59" t="s">
        <v>37</v>
      </c>
      <c r="AT49" s="59" t="s">
        <v>40</v>
      </c>
      <c r="AU49" s="59" t="s">
        <v>44</v>
      </c>
      <c r="AV49" s="59" t="s">
        <v>39</v>
      </c>
      <c r="AW49" s="60" t="s">
        <v>41</v>
      </c>
      <c r="AX49" s="59" t="s">
        <v>46</v>
      </c>
      <c r="AY49" s="59" t="s">
        <v>45</v>
      </c>
      <c r="AZ49" s="192" t="s">
        <v>80</v>
      </c>
      <c r="BA49" s="217" t="s">
        <v>40</v>
      </c>
      <c r="BB49" s="193" t="s">
        <v>80</v>
      </c>
      <c r="BC49" s="218" t="s">
        <v>40</v>
      </c>
      <c r="BD49" s="59" t="s">
        <v>80</v>
      </c>
      <c r="BE49" s="61" t="s">
        <v>38</v>
      </c>
      <c r="BF49" s="59" t="s">
        <v>40</v>
      </c>
      <c r="BG49" s="61" t="s">
        <v>38</v>
      </c>
      <c r="BH49" s="59" t="s">
        <v>80</v>
      </c>
      <c r="BI49" s="61" t="s">
        <v>38</v>
      </c>
      <c r="BJ49" s="59" t="s">
        <v>40</v>
      </c>
      <c r="BK49" s="61" t="s">
        <v>38</v>
      </c>
      <c r="BL49" s="59" t="s">
        <v>42</v>
      </c>
      <c r="BM49" s="59" t="s">
        <v>43</v>
      </c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</row>
    <row r="50" spans="1:84" s="75" customFormat="1" ht="15.75" thickBot="1" x14ac:dyDescent="0.35">
      <c r="A50" s="119"/>
      <c r="B50" s="127"/>
      <c r="C50" s="199"/>
      <c r="D50" s="127"/>
      <c r="E50" s="199"/>
      <c r="F50" s="199"/>
      <c r="G50" s="123">
        <v>0</v>
      </c>
      <c r="H50" s="148">
        <f>AP50</f>
        <v>45350.75</v>
      </c>
      <c r="I50" s="286">
        <f>AS50</f>
        <v>0</v>
      </c>
      <c r="J50" s="287"/>
      <c r="K50" s="288"/>
      <c r="L50" s="299">
        <f>BD50</f>
        <v>0</v>
      </c>
      <c r="M50" s="300">
        <f>BH50</f>
        <v>0</v>
      </c>
      <c r="N50" s="299">
        <v>0</v>
      </c>
      <c r="O50" s="344">
        <v>0</v>
      </c>
      <c r="P50" s="299">
        <v>0</v>
      </c>
      <c r="Q50" s="344">
        <v>0</v>
      </c>
      <c r="R50" s="300">
        <v>0</v>
      </c>
      <c r="S50" s="299">
        <v>0</v>
      </c>
      <c r="T50" s="300">
        <v>0</v>
      </c>
      <c r="U50" s="48"/>
      <c r="V50" s="48"/>
      <c r="W50" s="299">
        <v>0</v>
      </c>
      <c r="X50" s="344">
        <v>0</v>
      </c>
      <c r="Y50" s="344">
        <v>0</v>
      </c>
      <c r="AA50" s="344">
        <v>0</v>
      </c>
      <c r="AC50" s="300">
        <v>0</v>
      </c>
      <c r="AI50" s="344"/>
      <c r="AJ50" s="300"/>
      <c r="AK50" s="329"/>
      <c r="AL50" s="80">
        <v>0</v>
      </c>
      <c r="AM50" s="448">
        <f>WEEKDAY(AN50)</f>
        <v>4</v>
      </c>
      <c r="AN50" s="449">
        <v>45350</v>
      </c>
      <c r="AO50" s="66">
        <v>0.75</v>
      </c>
      <c r="AP50" s="67">
        <f>AN50+AO50</f>
        <v>45350.75</v>
      </c>
      <c r="AQ50" s="68"/>
      <c r="AR50" s="68"/>
      <c r="AS50" s="69">
        <v>0</v>
      </c>
      <c r="AT50" s="39">
        <v>0</v>
      </c>
      <c r="AU50" s="70"/>
      <c r="AV50" s="71"/>
      <c r="AW50" s="72"/>
      <c r="AX50" s="73"/>
      <c r="AY50" s="72"/>
      <c r="AZ50" s="265">
        <f>AS50</f>
        <v>0</v>
      </c>
      <c r="BA50" s="266">
        <f>AT50</f>
        <v>0</v>
      </c>
      <c r="BB50" s="265">
        <f>AS50</f>
        <v>0</v>
      </c>
      <c r="BC50" s="266">
        <f>AT50</f>
        <v>0</v>
      </c>
      <c r="BD50" s="71">
        <f>BI50</f>
        <v>0</v>
      </c>
      <c r="BE50" s="74"/>
      <c r="BF50" s="50"/>
      <c r="BG50" s="57"/>
      <c r="BH50" s="71"/>
      <c r="BI50" s="74"/>
      <c r="BJ50" s="50"/>
      <c r="BK50" s="57"/>
      <c r="BL50" s="71"/>
      <c r="BM50" s="71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</row>
    <row r="51" spans="1:84" s="75" customFormat="1" ht="15.75" thickBot="1" x14ac:dyDescent="0.35">
      <c r="A51" s="119"/>
      <c r="B51" s="127"/>
      <c r="C51" s="199"/>
      <c r="D51" s="127"/>
      <c r="E51" s="199"/>
      <c r="F51" s="199"/>
      <c r="G51" s="123">
        <v>1</v>
      </c>
      <c r="H51" s="148">
        <f t="shared" ref="H51:H71" si="2">AP51</f>
        <v>45351.75</v>
      </c>
      <c r="I51" s="286">
        <f t="shared" ref="I51:I71" si="3">AS51</f>
        <v>25960</v>
      </c>
      <c r="J51" s="287"/>
      <c r="K51" s="288"/>
      <c r="L51" s="299">
        <f t="shared" ref="L51:L71" si="4">BD51</f>
        <v>25960</v>
      </c>
      <c r="M51" s="300">
        <f t="shared" ref="M51:M70" si="5">BH51</f>
        <v>25960</v>
      </c>
      <c r="N51" s="306">
        <v>43437</v>
      </c>
      <c r="O51" s="287">
        <v>76466</v>
      </c>
      <c r="P51" s="306">
        <v>36402</v>
      </c>
      <c r="Q51" s="287">
        <v>26725</v>
      </c>
      <c r="R51" s="288">
        <v>8357</v>
      </c>
      <c r="S51" s="306">
        <v>14771</v>
      </c>
      <c r="T51" s="288">
        <v>19612</v>
      </c>
      <c r="U51" s="48"/>
      <c r="V51" s="48"/>
      <c r="W51" s="306"/>
      <c r="X51" s="287">
        <v>89735</v>
      </c>
      <c r="Y51" s="287">
        <v>97183</v>
      </c>
      <c r="AA51" s="287">
        <v>82966</v>
      </c>
      <c r="AC51" s="288">
        <v>39596</v>
      </c>
      <c r="AI51" s="287"/>
      <c r="AJ51" s="288"/>
      <c r="AK51" s="330"/>
      <c r="AL51" s="80">
        <v>1</v>
      </c>
      <c r="AM51" s="64" t="s">
        <v>13</v>
      </c>
      <c r="AN51" s="65">
        <f>AN50+1</f>
        <v>45351</v>
      </c>
      <c r="AO51" s="66">
        <v>0.75</v>
      </c>
      <c r="AP51" s="67">
        <f t="shared" ref="AP51:AP71" si="6">AN51+AO51</f>
        <v>45351.75</v>
      </c>
      <c r="AQ51" s="68">
        <f t="shared" ref="AQ51:AQ71" si="7">AP51-$AP$50</f>
        <v>1</v>
      </c>
      <c r="AR51" s="68">
        <f>AQ51-AQ50</f>
        <v>1</v>
      </c>
      <c r="AS51" s="76">
        <v>25960</v>
      </c>
      <c r="AT51" s="77">
        <v>347</v>
      </c>
      <c r="AU51" s="453">
        <f t="shared" ref="AU51:AU71" si="8">AT51-AT50</f>
        <v>347</v>
      </c>
      <c r="AV51" s="454">
        <f>AS51-AS50</f>
        <v>25960</v>
      </c>
      <c r="AW51" s="72">
        <f t="shared" ref="AW51:AW71" si="9">AS51/AT51</f>
        <v>74.812680115273778</v>
      </c>
      <c r="AX51" s="73">
        <f>(AV51-AS50)/(AU51-AT50)</f>
        <v>74.812680115273778</v>
      </c>
      <c r="AY51" s="73">
        <f>SUM(AV51:AV51)/SUM(AU51:AU51)</f>
        <v>74.812680115273778</v>
      </c>
      <c r="AZ51" s="76">
        <f t="shared" ref="AZ51:BA52" si="10">AS51</f>
        <v>25960</v>
      </c>
      <c r="BA51" s="77">
        <f t="shared" si="10"/>
        <v>347</v>
      </c>
      <c r="BB51" s="76">
        <f t="shared" ref="BB51:BC52" si="11">AS51</f>
        <v>25960</v>
      </c>
      <c r="BC51" s="77">
        <f t="shared" si="11"/>
        <v>347</v>
      </c>
      <c r="BD51" s="71">
        <f>AS51</f>
        <v>25960</v>
      </c>
      <c r="BE51" s="74">
        <f>AS51-BD51</f>
        <v>0</v>
      </c>
      <c r="BF51" s="79">
        <f>AU51</f>
        <v>347</v>
      </c>
      <c r="BG51" s="57">
        <f t="shared" ref="BG51:BG71" si="12">AT51-BF51</f>
        <v>0</v>
      </c>
      <c r="BH51" s="71">
        <f>BD51</f>
        <v>25960</v>
      </c>
      <c r="BI51" s="74">
        <f t="shared" ref="BI51:BI71" si="13">AS51-BH51</f>
        <v>0</v>
      </c>
      <c r="BJ51" s="79">
        <f>BF51</f>
        <v>347</v>
      </c>
      <c r="BK51" s="57">
        <f t="shared" ref="BK51:BK71" si="14">AT51-BJ51</f>
        <v>0</v>
      </c>
      <c r="BL51" s="71">
        <f t="shared" ref="BL51:BL71" si="15">AV51/AR51</f>
        <v>25960</v>
      </c>
      <c r="BM51" s="71">
        <f t="shared" ref="BM51:BM71" si="16">AS51/AQ51</f>
        <v>25960</v>
      </c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</row>
    <row r="52" spans="1:84" s="75" customFormat="1" x14ac:dyDescent="0.3">
      <c r="A52" s="119"/>
      <c r="B52" s="127"/>
      <c r="C52" s="199"/>
      <c r="D52" s="127"/>
      <c r="E52" s="199"/>
      <c r="F52" s="199"/>
      <c r="G52" s="123">
        <v>2</v>
      </c>
      <c r="H52" s="148">
        <f t="shared" si="2"/>
        <v>45352.75</v>
      </c>
      <c r="I52" s="286">
        <f t="shared" si="3"/>
        <v>35712</v>
      </c>
      <c r="J52" s="287"/>
      <c r="K52" s="288"/>
      <c r="L52" s="299">
        <f t="shared" si="4"/>
        <v>35712</v>
      </c>
      <c r="M52" s="300">
        <f t="shared" si="5"/>
        <v>35712</v>
      </c>
      <c r="N52" s="306">
        <v>49522</v>
      </c>
      <c r="O52" s="287">
        <v>100197</v>
      </c>
      <c r="P52" s="306">
        <v>42659</v>
      </c>
      <c r="Q52" s="287">
        <v>32416</v>
      </c>
      <c r="R52" s="288">
        <v>11433</v>
      </c>
      <c r="S52" s="306">
        <v>16764</v>
      </c>
      <c r="T52" s="288">
        <v>24532</v>
      </c>
      <c r="U52" s="48"/>
      <c r="V52" s="48"/>
      <c r="W52" s="306">
        <v>65000</v>
      </c>
      <c r="X52" s="287">
        <v>114003</v>
      </c>
      <c r="Y52" s="287">
        <v>121393</v>
      </c>
      <c r="AA52" s="287">
        <v>96328</v>
      </c>
      <c r="AC52" s="288">
        <v>55623</v>
      </c>
      <c r="AI52" s="287"/>
      <c r="AJ52" s="288"/>
      <c r="AK52" s="330"/>
      <c r="AL52" s="80">
        <v>2</v>
      </c>
      <c r="AM52" s="64">
        <f t="shared" ref="AM52:AM71" si="17">WEEKDAY(AN52)</f>
        <v>6</v>
      </c>
      <c r="AN52" s="65">
        <f t="shared" ref="AN52:AN71" si="18">AN51+1</f>
        <v>45352</v>
      </c>
      <c r="AO52" s="66">
        <v>0.75</v>
      </c>
      <c r="AP52" s="67">
        <f t="shared" si="6"/>
        <v>45352.75</v>
      </c>
      <c r="AQ52" s="68">
        <f t="shared" si="7"/>
        <v>2</v>
      </c>
      <c r="AR52" s="68">
        <f t="shared" ref="AR52:AR71" si="19">AQ52-AQ51</f>
        <v>1</v>
      </c>
      <c r="AS52" s="76">
        <v>35712</v>
      </c>
      <c r="AT52" s="77">
        <v>483</v>
      </c>
      <c r="AU52" s="78">
        <f t="shared" si="8"/>
        <v>136</v>
      </c>
      <c r="AV52" s="71">
        <f t="shared" ref="AV52:AV71" si="20">AS52-AS51</f>
        <v>9752</v>
      </c>
      <c r="AW52" s="72">
        <f t="shared" si="9"/>
        <v>73.937888198757761</v>
      </c>
      <c r="AX52" s="73">
        <f t="shared" ref="AX52:AX77" si="21">AV52/AU52</f>
        <v>71.705882352941174</v>
      </c>
      <c r="AY52" s="73">
        <f>SUM(AV51:AV52)/SUM(AU51:AU52)</f>
        <v>73.937888198757761</v>
      </c>
      <c r="AZ52" s="76">
        <f t="shared" si="10"/>
        <v>35712</v>
      </c>
      <c r="BA52" s="77">
        <f t="shared" si="10"/>
        <v>483</v>
      </c>
      <c r="BB52" s="76">
        <f t="shared" si="11"/>
        <v>35712</v>
      </c>
      <c r="BC52" s="77">
        <f t="shared" si="11"/>
        <v>483</v>
      </c>
      <c r="BD52" s="71">
        <f>AZ52</f>
        <v>35712</v>
      </c>
      <c r="BE52" s="74">
        <f t="shared" ref="BE52:BE71" si="22">AS52-BD52</f>
        <v>0</v>
      </c>
      <c r="BF52" s="79">
        <f>BA52</f>
        <v>483</v>
      </c>
      <c r="BG52" s="57">
        <f t="shared" si="12"/>
        <v>0</v>
      </c>
      <c r="BH52" s="71">
        <f>BB52</f>
        <v>35712</v>
      </c>
      <c r="BI52" s="74">
        <f t="shared" si="13"/>
        <v>0</v>
      </c>
      <c r="BJ52" s="79">
        <f>BC52</f>
        <v>483</v>
      </c>
      <c r="BK52" s="57">
        <f t="shared" si="14"/>
        <v>0</v>
      </c>
      <c r="BL52" s="71">
        <f t="shared" si="15"/>
        <v>9752</v>
      </c>
      <c r="BM52" s="71">
        <f t="shared" si="16"/>
        <v>17856</v>
      </c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</row>
    <row r="53" spans="1:84" s="75" customFormat="1" x14ac:dyDescent="0.3">
      <c r="A53" s="119"/>
      <c r="B53" s="127"/>
      <c r="C53" s="199"/>
      <c r="D53" s="127"/>
      <c r="E53" s="199"/>
      <c r="F53" s="199"/>
      <c r="G53" s="123">
        <v>3</v>
      </c>
      <c r="H53" s="148">
        <f t="shared" si="2"/>
        <v>45353.75</v>
      </c>
      <c r="I53" s="286">
        <f t="shared" si="3"/>
        <v>39341</v>
      </c>
      <c r="J53" s="287"/>
      <c r="K53" s="288"/>
      <c r="L53" s="299">
        <f t="shared" si="4"/>
        <v>39341</v>
      </c>
      <c r="M53" s="300">
        <f t="shared" si="5"/>
        <v>39341</v>
      </c>
      <c r="N53" s="306">
        <v>53901</v>
      </c>
      <c r="O53" s="287">
        <v>110488</v>
      </c>
      <c r="P53" s="306">
        <v>45273</v>
      </c>
      <c r="Q53" s="287">
        <v>38191</v>
      </c>
      <c r="R53" s="288">
        <v>13158</v>
      </c>
      <c r="S53" s="306">
        <v>17674</v>
      </c>
      <c r="T53" s="288">
        <v>27671</v>
      </c>
      <c r="U53" s="48"/>
      <c r="V53" s="48"/>
      <c r="W53" s="306"/>
      <c r="X53" s="287">
        <v>122519</v>
      </c>
      <c r="Y53" s="287">
        <v>143837</v>
      </c>
      <c r="AA53" s="287">
        <v>115147</v>
      </c>
      <c r="AC53" s="288">
        <v>65490</v>
      </c>
      <c r="AI53" s="287"/>
      <c r="AJ53" s="288"/>
      <c r="AK53" s="330"/>
      <c r="AL53" s="80">
        <v>3</v>
      </c>
      <c r="AM53" s="64">
        <f t="shared" si="17"/>
        <v>7</v>
      </c>
      <c r="AN53" s="65">
        <f t="shared" si="18"/>
        <v>45353</v>
      </c>
      <c r="AO53" s="66">
        <v>0.75</v>
      </c>
      <c r="AP53" s="67">
        <f t="shared" si="6"/>
        <v>45353.75</v>
      </c>
      <c r="AQ53" s="68">
        <f t="shared" si="7"/>
        <v>3</v>
      </c>
      <c r="AR53" s="68">
        <f t="shared" si="19"/>
        <v>1</v>
      </c>
      <c r="AS53" s="76">
        <v>39341</v>
      </c>
      <c r="AT53" s="77">
        <v>536</v>
      </c>
      <c r="AU53" s="78">
        <f t="shared" si="8"/>
        <v>53</v>
      </c>
      <c r="AV53" s="71">
        <f t="shared" si="20"/>
        <v>3629</v>
      </c>
      <c r="AW53" s="72">
        <f t="shared" si="9"/>
        <v>73.397388059701498</v>
      </c>
      <c r="AX53" s="73">
        <f t="shared" si="21"/>
        <v>68.471698113207552</v>
      </c>
      <c r="AY53" s="73">
        <f>SUM(AV51:AV53)/SUM(AU51:AU53)</f>
        <v>73.397388059701498</v>
      </c>
      <c r="AZ53" s="76">
        <f t="shared" ref="AZ53" si="23">AS53</f>
        <v>39341</v>
      </c>
      <c r="BA53" s="77">
        <f t="shared" ref="BA53" si="24">AT53</f>
        <v>536</v>
      </c>
      <c r="BB53" s="76">
        <f t="shared" ref="BB53" si="25">AS53</f>
        <v>39341</v>
      </c>
      <c r="BC53" s="77">
        <f t="shared" ref="BC53" si="26">AT53</f>
        <v>536</v>
      </c>
      <c r="BD53" s="71">
        <f>AZ53</f>
        <v>39341</v>
      </c>
      <c r="BE53" s="74">
        <f t="shared" si="22"/>
        <v>0</v>
      </c>
      <c r="BF53" s="79">
        <f>BA53</f>
        <v>536</v>
      </c>
      <c r="BG53" s="57">
        <f t="shared" si="12"/>
        <v>0</v>
      </c>
      <c r="BH53" s="71">
        <f>BB53</f>
        <v>39341</v>
      </c>
      <c r="BI53" s="74">
        <f t="shared" si="13"/>
        <v>0</v>
      </c>
      <c r="BJ53" s="79">
        <f t="shared" ref="BJ53:BJ65" si="27">BC53</f>
        <v>536</v>
      </c>
      <c r="BK53" s="57">
        <f t="shared" si="14"/>
        <v>0</v>
      </c>
      <c r="BL53" s="71">
        <f t="shared" si="15"/>
        <v>3629</v>
      </c>
      <c r="BM53" s="71">
        <f t="shared" si="16"/>
        <v>13113.666666666666</v>
      </c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</row>
    <row r="54" spans="1:84" s="75" customFormat="1" x14ac:dyDescent="0.3">
      <c r="A54" s="119"/>
      <c r="B54" s="127"/>
      <c r="C54" s="199"/>
      <c r="D54" s="127"/>
      <c r="E54" s="199"/>
      <c r="F54" s="199"/>
      <c r="G54" s="123">
        <v>4</v>
      </c>
      <c r="H54" s="148">
        <f t="shared" si="2"/>
        <v>45354.75</v>
      </c>
      <c r="I54" s="286">
        <f t="shared" si="3"/>
        <v>43256</v>
      </c>
      <c r="J54" s="287"/>
      <c r="K54" s="288"/>
      <c r="L54" s="299">
        <f t="shared" si="4"/>
        <v>43256</v>
      </c>
      <c r="M54" s="300">
        <f t="shared" si="5"/>
        <v>43256</v>
      </c>
      <c r="N54" s="306">
        <v>59963</v>
      </c>
      <c r="O54" s="287">
        <v>117325</v>
      </c>
      <c r="P54" s="306">
        <v>47957</v>
      </c>
      <c r="Q54" s="287">
        <v>41597</v>
      </c>
      <c r="R54" s="288">
        <v>14235</v>
      </c>
      <c r="S54" s="306">
        <v>18881</v>
      </c>
      <c r="T54" s="288">
        <v>30324</v>
      </c>
      <c r="U54" s="48"/>
      <c r="V54" s="48"/>
      <c r="W54" s="306"/>
      <c r="X54" s="287">
        <v>127604</v>
      </c>
      <c r="Y54" s="287">
        <v>156839</v>
      </c>
      <c r="AA54" s="287">
        <v>123834</v>
      </c>
      <c r="AC54" s="288">
        <v>69834</v>
      </c>
      <c r="AI54" s="287"/>
      <c r="AJ54" s="288"/>
      <c r="AK54" s="330"/>
      <c r="AL54" s="80">
        <v>4</v>
      </c>
      <c r="AM54" s="328">
        <f t="shared" si="17"/>
        <v>1</v>
      </c>
      <c r="AN54" s="65">
        <f t="shared" si="18"/>
        <v>45354</v>
      </c>
      <c r="AO54" s="66">
        <v>0.75</v>
      </c>
      <c r="AP54" s="67">
        <f t="shared" si="6"/>
        <v>45354.75</v>
      </c>
      <c r="AQ54" s="68">
        <f t="shared" si="7"/>
        <v>4</v>
      </c>
      <c r="AR54" s="68">
        <f t="shared" si="19"/>
        <v>1</v>
      </c>
      <c r="AS54" s="76">
        <v>43256</v>
      </c>
      <c r="AT54" s="77">
        <v>585</v>
      </c>
      <c r="AU54" s="78">
        <f t="shared" si="8"/>
        <v>49</v>
      </c>
      <c r="AV54" s="71">
        <f t="shared" si="20"/>
        <v>3915</v>
      </c>
      <c r="AW54" s="72">
        <f t="shared" si="9"/>
        <v>73.941880341880335</v>
      </c>
      <c r="AX54" s="73">
        <f t="shared" si="21"/>
        <v>79.897959183673464</v>
      </c>
      <c r="AY54" s="73">
        <f t="shared" ref="AY54" si="28">SUM(AV51:AV54)/SUM(AU51:AU54)</f>
        <v>73.941880341880335</v>
      </c>
      <c r="AZ54" s="76">
        <f t="shared" ref="AZ54" si="29">AS54</f>
        <v>43256</v>
      </c>
      <c r="BA54" s="77">
        <f t="shared" ref="BA54" si="30">AT54</f>
        <v>585</v>
      </c>
      <c r="BB54" s="76">
        <f t="shared" ref="BB54" si="31">AS54</f>
        <v>43256</v>
      </c>
      <c r="BC54" s="77">
        <f t="shared" ref="BC54" si="32">AT54</f>
        <v>585</v>
      </c>
      <c r="BD54" s="71">
        <f t="shared" ref="BD54:BD65" si="33">AZ54</f>
        <v>43256</v>
      </c>
      <c r="BE54" s="74">
        <f t="shared" ref="BE54" si="34">AS54-BD54</f>
        <v>0</v>
      </c>
      <c r="BF54" s="79">
        <f t="shared" ref="BF54:BF65" si="35">BA54</f>
        <v>585</v>
      </c>
      <c r="BG54" s="57">
        <f t="shared" ref="BG54" si="36">AT54-BF54</f>
        <v>0</v>
      </c>
      <c r="BH54" s="71">
        <f t="shared" ref="BH54:BH65" si="37">BB54</f>
        <v>43256</v>
      </c>
      <c r="BI54" s="74">
        <f t="shared" ref="BI54" si="38">AS54-BH54</f>
        <v>0</v>
      </c>
      <c r="BJ54" s="79">
        <f t="shared" si="27"/>
        <v>585</v>
      </c>
      <c r="BK54" s="57">
        <f t="shared" ref="BK54" si="39">AT54-BJ54</f>
        <v>0</v>
      </c>
      <c r="BL54" s="71">
        <f t="shared" si="15"/>
        <v>3915</v>
      </c>
      <c r="BM54" s="71">
        <f t="shared" si="16"/>
        <v>10814</v>
      </c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</row>
    <row r="55" spans="1:84" s="75" customFormat="1" x14ac:dyDescent="0.3">
      <c r="A55" s="119"/>
      <c r="B55" s="127"/>
      <c r="C55" s="199"/>
      <c r="D55" s="127"/>
      <c r="E55" s="199"/>
      <c r="F55" s="199"/>
      <c r="G55" s="123">
        <v>5</v>
      </c>
      <c r="H55" s="148">
        <f t="shared" si="2"/>
        <v>45355.75</v>
      </c>
      <c r="I55" s="286">
        <f t="shared" si="3"/>
        <v>44966</v>
      </c>
      <c r="J55" s="287"/>
      <c r="K55" s="288"/>
      <c r="L55" s="299">
        <f t="shared" si="4"/>
        <v>44966</v>
      </c>
      <c r="M55" s="300">
        <f t="shared" si="5"/>
        <v>44966</v>
      </c>
      <c r="N55" s="306">
        <v>63115</v>
      </c>
      <c r="O55" s="287">
        <v>120368</v>
      </c>
      <c r="P55" s="306">
        <v>50763</v>
      </c>
      <c r="Q55" s="287">
        <v>44358</v>
      </c>
      <c r="R55" s="288">
        <v>15015</v>
      </c>
      <c r="S55" s="306">
        <v>21886</v>
      </c>
      <c r="T55" s="288">
        <v>32621</v>
      </c>
      <c r="U55" s="48"/>
      <c r="V55" s="48"/>
      <c r="W55" s="306"/>
      <c r="X55" s="287">
        <v>131274</v>
      </c>
      <c r="Y55" s="287">
        <v>166947</v>
      </c>
      <c r="AA55" s="287">
        <v>132002</v>
      </c>
      <c r="AC55" s="288">
        <v>75551</v>
      </c>
      <c r="AI55" s="287"/>
      <c r="AJ55" s="288"/>
      <c r="AK55" s="330"/>
      <c r="AL55" s="80">
        <v>5</v>
      </c>
      <c r="AM55" s="328">
        <f t="shared" si="17"/>
        <v>2</v>
      </c>
      <c r="AN55" s="65">
        <f t="shared" si="18"/>
        <v>45355</v>
      </c>
      <c r="AO55" s="66">
        <v>0.75</v>
      </c>
      <c r="AP55" s="67">
        <f t="shared" si="6"/>
        <v>45355.75</v>
      </c>
      <c r="AQ55" s="68">
        <f t="shared" si="7"/>
        <v>5</v>
      </c>
      <c r="AR55" s="68">
        <f t="shared" si="19"/>
        <v>1</v>
      </c>
      <c r="AS55" s="76">
        <v>44966</v>
      </c>
      <c r="AT55" s="77">
        <v>611</v>
      </c>
      <c r="AU55" s="78">
        <f t="shared" si="8"/>
        <v>26</v>
      </c>
      <c r="AV55" s="71">
        <f t="shared" si="20"/>
        <v>1710</v>
      </c>
      <c r="AW55" s="72">
        <f t="shared" si="9"/>
        <v>73.594108019639933</v>
      </c>
      <c r="AX55" s="73">
        <f t="shared" si="21"/>
        <v>65.769230769230774</v>
      </c>
      <c r="AY55" s="73">
        <f>SUM(AV51:AV55)/SUM(AU51:AU55)</f>
        <v>73.594108019639933</v>
      </c>
      <c r="AZ55" s="76">
        <f t="shared" ref="AZ55" si="40">AS55</f>
        <v>44966</v>
      </c>
      <c r="BA55" s="77">
        <f t="shared" ref="BA55" si="41">AT55</f>
        <v>611</v>
      </c>
      <c r="BB55" s="76">
        <f t="shared" ref="BB55" si="42">AS55</f>
        <v>44966</v>
      </c>
      <c r="BC55" s="77">
        <f t="shared" ref="BC55" si="43">AT55</f>
        <v>611</v>
      </c>
      <c r="BD55" s="71">
        <f t="shared" si="33"/>
        <v>44966</v>
      </c>
      <c r="BE55" s="74">
        <f t="shared" si="22"/>
        <v>0</v>
      </c>
      <c r="BF55" s="79">
        <f t="shared" si="35"/>
        <v>611</v>
      </c>
      <c r="BG55" s="57">
        <f t="shared" si="12"/>
        <v>0</v>
      </c>
      <c r="BH55" s="71">
        <f t="shared" si="37"/>
        <v>44966</v>
      </c>
      <c r="BI55" s="74">
        <f t="shared" si="13"/>
        <v>0</v>
      </c>
      <c r="BJ55" s="79">
        <f t="shared" si="27"/>
        <v>611</v>
      </c>
      <c r="BK55" s="57">
        <f t="shared" si="14"/>
        <v>0</v>
      </c>
      <c r="BL55" s="71">
        <f t="shared" si="15"/>
        <v>1710</v>
      </c>
      <c r="BM55" s="71">
        <f t="shared" si="16"/>
        <v>8993.2000000000007</v>
      </c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</row>
    <row r="56" spans="1:84" s="75" customFormat="1" ht="15.75" thickBot="1" x14ac:dyDescent="0.35">
      <c r="A56" s="119"/>
      <c r="B56" s="127"/>
      <c r="C56" s="199"/>
      <c r="D56" s="127"/>
      <c r="E56" s="199"/>
      <c r="F56" s="199"/>
      <c r="G56" s="123">
        <v>6</v>
      </c>
      <c r="H56" s="148">
        <f t="shared" si="2"/>
        <v>45356.75</v>
      </c>
      <c r="I56" s="286">
        <f t="shared" si="3"/>
        <v>46520</v>
      </c>
      <c r="J56" s="287"/>
      <c r="K56" s="288"/>
      <c r="L56" s="299">
        <f t="shared" si="4"/>
        <v>46520</v>
      </c>
      <c r="M56" s="300">
        <f t="shared" si="5"/>
        <v>46520</v>
      </c>
      <c r="N56" s="306">
        <v>65148</v>
      </c>
      <c r="O56" s="287">
        <v>123198</v>
      </c>
      <c r="P56" s="306">
        <v>53829</v>
      </c>
      <c r="Q56" s="287">
        <v>45558</v>
      </c>
      <c r="R56" s="288">
        <v>16237</v>
      </c>
      <c r="S56" s="306">
        <v>22571</v>
      </c>
      <c r="T56" s="288">
        <v>37481</v>
      </c>
      <c r="U56" s="48"/>
      <c r="V56" s="48"/>
      <c r="W56" s="306"/>
      <c r="X56" s="287">
        <v>135593</v>
      </c>
      <c r="Y56" s="287">
        <v>175946</v>
      </c>
      <c r="AA56" s="287">
        <v>150957</v>
      </c>
      <c r="AC56" s="288">
        <v>85403</v>
      </c>
      <c r="AI56" s="287"/>
      <c r="AJ56" s="288"/>
      <c r="AK56" s="330"/>
      <c r="AL56" s="80">
        <v>6</v>
      </c>
      <c r="AM56" s="328">
        <f t="shared" si="17"/>
        <v>3</v>
      </c>
      <c r="AN56" s="65">
        <f t="shared" si="18"/>
        <v>45356</v>
      </c>
      <c r="AO56" s="66">
        <v>0.75</v>
      </c>
      <c r="AP56" s="67">
        <f t="shared" si="6"/>
        <v>45356.75</v>
      </c>
      <c r="AQ56" s="68">
        <f t="shared" si="7"/>
        <v>6</v>
      </c>
      <c r="AR56" s="68">
        <f t="shared" si="19"/>
        <v>1</v>
      </c>
      <c r="AS56" s="76">
        <v>46520</v>
      </c>
      <c r="AT56" s="77">
        <v>633</v>
      </c>
      <c r="AU56" s="78">
        <f t="shared" si="8"/>
        <v>22</v>
      </c>
      <c r="AV56" s="71">
        <f t="shared" si="20"/>
        <v>1554</v>
      </c>
      <c r="AW56" s="72">
        <f t="shared" si="9"/>
        <v>73.491311216429693</v>
      </c>
      <c r="AX56" s="73">
        <f t="shared" si="21"/>
        <v>70.63636363636364</v>
      </c>
      <c r="AY56" s="73">
        <f>SUM(AV52:AV56)/SUM(AU52:AU56)</f>
        <v>71.888111888111894</v>
      </c>
      <c r="AZ56" s="76">
        <f t="shared" ref="AZ56" si="44">AS56</f>
        <v>46520</v>
      </c>
      <c r="BA56" s="77">
        <f t="shared" ref="BA56" si="45">AT56</f>
        <v>633</v>
      </c>
      <c r="BB56" s="76">
        <f t="shared" ref="BB56" si="46">AS56</f>
        <v>46520</v>
      </c>
      <c r="BC56" s="77">
        <f t="shared" ref="BC56" si="47">AT56</f>
        <v>633</v>
      </c>
      <c r="BD56" s="71">
        <f t="shared" si="33"/>
        <v>46520</v>
      </c>
      <c r="BE56" s="74">
        <f t="shared" si="22"/>
        <v>0</v>
      </c>
      <c r="BF56" s="79">
        <f t="shared" si="35"/>
        <v>633</v>
      </c>
      <c r="BG56" s="57">
        <f t="shared" si="12"/>
        <v>0</v>
      </c>
      <c r="BH56" s="71">
        <f t="shared" si="37"/>
        <v>46520</v>
      </c>
      <c r="BI56" s="74">
        <f t="shared" si="13"/>
        <v>0</v>
      </c>
      <c r="BJ56" s="79">
        <f t="shared" si="27"/>
        <v>633</v>
      </c>
      <c r="BK56" s="57">
        <f t="shared" si="14"/>
        <v>0</v>
      </c>
      <c r="BL56" s="71">
        <f t="shared" si="15"/>
        <v>1554</v>
      </c>
      <c r="BM56" s="71">
        <f t="shared" si="16"/>
        <v>7753.333333333333</v>
      </c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</row>
    <row r="57" spans="1:84" s="75" customFormat="1" ht="15.75" thickBot="1" x14ac:dyDescent="0.35">
      <c r="A57" s="119"/>
      <c r="B57" s="127"/>
      <c r="C57" s="199"/>
      <c r="D57" s="127"/>
      <c r="E57" s="199"/>
      <c r="F57" s="199"/>
      <c r="G57" s="123">
        <v>7</v>
      </c>
      <c r="H57" s="148">
        <f t="shared" si="2"/>
        <v>45357.75</v>
      </c>
      <c r="I57" s="286">
        <f t="shared" si="3"/>
        <v>48572</v>
      </c>
      <c r="J57" s="287"/>
      <c r="K57" s="288"/>
      <c r="L57" s="299">
        <f t="shared" si="4"/>
        <v>48572</v>
      </c>
      <c r="M57" s="300">
        <f t="shared" si="5"/>
        <v>48572</v>
      </c>
      <c r="N57" s="306">
        <v>69623</v>
      </c>
      <c r="O57" s="287">
        <v>126713</v>
      </c>
      <c r="P57" s="306">
        <v>55981</v>
      </c>
      <c r="Q57" s="287">
        <v>50019</v>
      </c>
      <c r="R57" s="288">
        <v>16727</v>
      </c>
      <c r="S57" s="306">
        <v>24180</v>
      </c>
      <c r="T57" s="288">
        <v>40223</v>
      </c>
      <c r="U57" s="48"/>
      <c r="V57" s="48"/>
      <c r="W57" s="306"/>
      <c r="X57" s="287">
        <v>147297</v>
      </c>
      <c r="Y57" s="287">
        <v>184883</v>
      </c>
      <c r="AA57" s="287">
        <v>164491</v>
      </c>
      <c r="AC57" s="288">
        <v>94449</v>
      </c>
      <c r="AI57" s="287"/>
      <c r="AJ57" s="288"/>
      <c r="AK57" s="330"/>
      <c r="AL57" s="80">
        <v>7</v>
      </c>
      <c r="AM57" s="450">
        <f t="shared" si="17"/>
        <v>4</v>
      </c>
      <c r="AN57" s="449">
        <f t="shared" si="18"/>
        <v>45357</v>
      </c>
      <c r="AO57" s="66">
        <v>0.75</v>
      </c>
      <c r="AP57" s="67">
        <f t="shared" si="6"/>
        <v>45357.75</v>
      </c>
      <c r="AQ57" s="68">
        <f t="shared" si="7"/>
        <v>7</v>
      </c>
      <c r="AR57" s="68">
        <f t="shared" si="19"/>
        <v>1</v>
      </c>
      <c r="AS57" s="76">
        <v>48572</v>
      </c>
      <c r="AT57" s="77">
        <v>661</v>
      </c>
      <c r="AU57" s="78">
        <f t="shared" si="8"/>
        <v>28</v>
      </c>
      <c r="AV57" s="71">
        <f t="shared" si="20"/>
        <v>2052</v>
      </c>
      <c r="AW57" s="72">
        <f t="shared" si="9"/>
        <v>73.48260211800303</v>
      </c>
      <c r="AX57" s="73">
        <f t="shared" si="21"/>
        <v>73.285714285714292</v>
      </c>
      <c r="AY57" s="73">
        <f t="shared" ref="AY57:AY71" si="48">SUM(AV53:AV57)/SUM(AU53:AU57)</f>
        <v>72.247191011235955</v>
      </c>
      <c r="AZ57" s="76">
        <f t="shared" ref="AZ57" si="49">AS57</f>
        <v>48572</v>
      </c>
      <c r="BA57" s="77">
        <f t="shared" ref="BA57" si="50">AT57</f>
        <v>661</v>
      </c>
      <c r="BB57" s="76">
        <f t="shared" ref="BB57" si="51">AS57</f>
        <v>48572</v>
      </c>
      <c r="BC57" s="77">
        <f t="shared" ref="BC57" si="52">AT57</f>
        <v>661</v>
      </c>
      <c r="BD57" s="71">
        <f t="shared" si="33"/>
        <v>48572</v>
      </c>
      <c r="BE57" s="74">
        <f t="shared" si="22"/>
        <v>0</v>
      </c>
      <c r="BF57" s="79">
        <f t="shared" si="35"/>
        <v>661</v>
      </c>
      <c r="BG57" s="57">
        <f t="shared" si="12"/>
        <v>0</v>
      </c>
      <c r="BH57" s="71">
        <f t="shared" si="37"/>
        <v>48572</v>
      </c>
      <c r="BI57" s="74">
        <f t="shared" si="13"/>
        <v>0</v>
      </c>
      <c r="BJ57" s="79">
        <f t="shared" si="27"/>
        <v>661</v>
      </c>
      <c r="BK57" s="57">
        <f t="shared" si="14"/>
        <v>0</v>
      </c>
      <c r="BL57" s="71">
        <f t="shared" si="15"/>
        <v>2052</v>
      </c>
      <c r="BM57" s="71">
        <f t="shared" si="16"/>
        <v>6938.8571428571431</v>
      </c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</row>
    <row r="58" spans="1:84" s="75" customFormat="1" ht="15.75" thickBot="1" x14ac:dyDescent="0.35">
      <c r="A58" s="119"/>
      <c r="B58" s="127"/>
      <c r="C58" s="199"/>
      <c r="D58" s="127"/>
      <c r="E58" s="199"/>
      <c r="F58" s="199"/>
      <c r="G58" s="123">
        <v>8</v>
      </c>
      <c r="H58" s="148">
        <f t="shared" si="2"/>
        <v>45358.75</v>
      </c>
      <c r="I58" s="286">
        <f t="shared" si="3"/>
        <v>50335</v>
      </c>
      <c r="J58" s="287"/>
      <c r="K58" s="288"/>
      <c r="L58" s="299">
        <f t="shared" si="4"/>
        <v>50335</v>
      </c>
      <c r="M58" s="300">
        <f t="shared" si="5"/>
        <v>50335</v>
      </c>
      <c r="N58" s="306">
        <v>72783</v>
      </c>
      <c r="O58" s="287">
        <v>130050</v>
      </c>
      <c r="P58" s="306">
        <v>58795</v>
      </c>
      <c r="Q58" s="287">
        <v>54482</v>
      </c>
      <c r="R58" s="288">
        <v>17672</v>
      </c>
      <c r="S58" s="306">
        <v>26679</v>
      </c>
      <c r="T58" s="288">
        <v>43766</v>
      </c>
      <c r="U58" s="48"/>
      <c r="V58" s="48"/>
      <c r="W58" s="306"/>
      <c r="X58" s="287">
        <v>154154</v>
      </c>
      <c r="Y58" s="287">
        <v>193287</v>
      </c>
      <c r="AA58" s="287">
        <v>182858</v>
      </c>
      <c r="AC58" s="288">
        <v>103073</v>
      </c>
      <c r="AI58" s="287"/>
      <c r="AJ58" s="288"/>
      <c r="AK58" s="330"/>
      <c r="AL58" s="80">
        <v>8</v>
      </c>
      <c r="AM58" s="328">
        <f t="shared" si="17"/>
        <v>5</v>
      </c>
      <c r="AN58" s="65">
        <f t="shared" si="18"/>
        <v>45358</v>
      </c>
      <c r="AO58" s="66">
        <v>0.75</v>
      </c>
      <c r="AP58" s="67">
        <f t="shared" si="6"/>
        <v>45358.75</v>
      </c>
      <c r="AQ58" s="68">
        <f t="shared" si="7"/>
        <v>8</v>
      </c>
      <c r="AR58" s="68">
        <f t="shared" si="19"/>
        <v>1</v>
      </c>
      <c r="AS58" s="76">
        <v>50335</v>
      </c>
      <c r="AT58" s="77">
        <v>687</v>
      </c>
      <c r="AU58" s="453">
        <f t="shared" si="8"/>
        <v>26</v>
      </c>
      <c r="AV58" s="454">
        <f t="shared" si="20"/>
        <v>1763</v>
      </c>
      <c r="AW58" s="72">
        <f t="shared" si="9"/>
        <v>73.267831149927218</v>
      </c>
      <c r="AX58" s="73">
        <f t="shared" si="21"/>
        <v>67.807692307692307</v>
      </c>
      <c r="AY58" s="73">
        <f t="shared" si="48"/>
        <v>72.807947019867555</v>
      </c>
      <c r="AZ58" s="76">
        <f t="shared" ref="AZ58" si="53">AS58</f>
        <v>50335</v>
      </c>
      <c r="BA58" s="77">
        <f t="shared" ref="BA58" si="54">AT58</f>
        <v>687</v>
      </c>
      <c r="BB58" s="76">
        <f t="shared" ref="BB58" si="55">AS58</f>
        <v>50335</v>
      </c>
      <c r="BC58" s="77">
        <f t="shared" ref="BC58" si="56">AT58</f>
        <v>687</v>
      </c>
      <c r="BD58" s="71">
        <f t="shared" si="33"/>
        <v>50335</v>
      </c>
      <c r="BE58" s="74">
        <f t="shared" si="22"/>
        <v>0</v>
      </c>
      <c r="BF58" s="79">
        <f t="shared" si="35"/>
        <v>687</v>
      </c>
      <c r="BG58" s="57">
        <f t="shared" si="12"/>
        <v>0</v>
      </c>
      <c r="BH58" s="71">
        <f t="shared" si="37"/>
        <v>50335</v>
      </c>
      <c r="BI58" s="74">
        <f t="shared" si="13"/>
        <v>0</v>
      </c>
      <c r="BJ58" s="79">
        <f t="shared" si="27"/>
        <v>687</v>
      </c>
      <c r="BK58" s="57">
        <f t="shared" si="14"/>
        <v>0</v>
      </c>
      <c r="BL58" s="71">
        <f t="shared" si="15"/>
        <v>1763</v>
      </c>
      <c r="BM58" s="71">
        <f t="shared" si="16"/>
        <v>6291.875</v>
      </c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</row>
    <row r="59" spans="1:84" s="75" customFormat="1" x14ac:dyDescent="0.3">
      <c r="A59" s="119"/>
      <c r="B59" s="127"/>
      <c r="C59" s="199"/>
      <c r="D59" s="127"/>
      <c r="E59" s="199"/>
      <c r="F59" s="199"/>
      <c r="G59" s="123">
        <v>9</v>
      </c>
      <c r="H59" s="148">
        <f t="shared" si="2"/>
        <v>45359.75</v>
      </c>
      <c r="I59" s="286">
        <f t="shared" si="3"/>
        <v>51635</v>
      </c>
      <c r="J59" s="287"/>
      <c r="K59" s="288"/>
      <c r="L59" s="299">
        <f t="shared" si="4"/>
        <v>51635</v>
      </c>
      <c r="M59" s="300">
        <f t="shared" si="5"/>
        <v>51635</v>
      </c>
      <c r="N59" s="306">
        <v>76597</v>
      </c>
      <c r="O59" s="287">
        <v>133215</v>
      </c>
      <c r="P59" s="306">
        <v>63300</v>
      </c>
      <c r="Q59" s="287">
        <v>60464</v>
      </c>
      <c r="R59" s="288">
        <v>17982</v>
      </c>
      <c r="S59" s="306">
        <v>27868</v>
      </c>
      <c r="T59" s="288">
        <v>45971</v>
      </c>
      <c r="U59" s="48"/>
      <c r="V59" s="48"/>
      <c r="W59" s="306"/>
      <c r="X59" s="287">
        <v>158642</v>
      </c>
      <c r="Y59" s="287">
        <v>202015</v>
      </c>
      <c r="AA59" s="287">
        <v>195000</v>
      </c>
      <c r="AC59" s="288">
        <v>113149</v>
      </c>
      <c r="AI59" s="287"/>
      <c r="AJ59" s="288"/>
      <c r="AK59" s="330"/>
      <c r="AL59" s="80">
        <v>9</v>
      </c>
      <c r="AM59" s="328">
        <f t="shared" si="17"/>
        <v>6</v>
      </c>
      <c r="AN59" s="65">
        <f t="shared" si="18"/>
        <v>45359</v>
      </c>
      <c r="AO59" s="66">
        <v>0.75</v>
      </c>
      <c r="AP59" s="67">
        <f t="shared" si="6"/>
        <v>45359.75</v>
      </c>
      <c r="AQ59" s="68">
        <f t="shared" si="7"/>
        <v>9</v>
      </c>
      <c r="AR59" s="68">
        <f t="shared" si="19"/>
        <v>1</v>
      </c>
      <c r="AS59" s="76">
        <v>51635</v>
      </c>
      <c r="AT59" s="77">
        <v>705</v>
      </c>
      <c r="AU59" s="78">
        <f t="shared" si="8"/>
        <v>18</v>
      </c>
      <c r="AV59" s="71">
        <f t="shared" si="20"/>
        <v>1300</v>
      </c>
      <c r="AW59" s="72">
        <f t="shared" si="9"/>
        <v>73.241134751773046</v>
      </c>
      <c r="AX59" s="73">
        <f t="shared" si="21"/>
        <v>72.222222222222229</v>
      </c>
      <c r="AY59" s="73">
        <f t="shared" si="48"/>
        <v>69.825000000000003</v>
      </c>
      <c r="AZ59" s="76">
        <f t="shared" ref="AZ59:AZ60" si="57">AS59</f>
        <v>51635</v>
      </c>
      <c r="BA59" s="77">
        <f t="shared" ref="BA59:BA60" si="58">AT59</f>
        <v>705</v>
      </c>
      <c r="BB59" s="76">
        <f t="shared" ref="BB59:BB60" si="59">AS59</f>
        <v>51635</v>
      </c>
      <c r="BC59" s="77">
        <f t="shared" ref="BC59:BC60" si="60">AT59</f>
        <v>705</v>
      </c>
      <c r="BD59" s="71">
        <f t="shared" si="33"/>
        <v>51635</v>
      </c>
      <c r="BE59" s="74">
        <f t="shared" si="22"/>
        <v>0</v>
      </c>
      <c r="BF59" s="79">
        <f t="shared" si="35"/>
        <v>705</v>
      </c>
      <c r="BG59" s="57">
        <f t="shared" si="12"/>
        <v>0</v>
      </c>
      <c r="BH59" s="71">
        <f t="shared" si="37"/>
        <v>51635</v>
      </c>
      <c r="BI59" s="74">
        <f t="shared" si="13"/>
        <v>0</v>
      </c>
      <c r="BJ59" s="79">
        <f t="shared" si="27"/>
        <v>705</v>
      </c>
      <c r="BK59" s="57">
        <f t="shared" si="14"/>
        <v>0</v>
      </c>
      <c r="BL59" s="71">
        <f t="shared" si="15"/>
        <v>1300</v>
      </c>
      <c r="BM59" s="71">
        <f t="shared" si="16"/>
        <v>5737.2222222222226</v>
      </c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</row>
    <row r="60" spans="1:84" s="75" customFormat="1" x14ac:dyDescent="0.3">
      <c r="A60" s="119"/>
      <c r="B60" s="127"/>
      <c r="C60" s="199"/>
      <c r="D60" s="127"/>
      <c r="E60" s="199"/>
      <c r="F60" s="199"/>
      <c r="G60" s="123">
        <v>10</v>
      </c>
      <c r="H60" s="148">
        <f t="shared" si="2"/>
        <v>45360.75</v>
      </c>
      <c r="I60" s="286">
        <f t="shared" si="3"/>
        <v>53657</v>
      </c>
      <c r="J60" s="287"/>
      <c r="K60" s="288"/>
      <c r="L60" s="299">
        <f t="shared" si="4"/>
        <v>53657</v>
      </c>
      <c r="M60" s="300">
        <f t="shared" si="5"/>
        <v>53657</v>
      </c>
      <c r="N60" s="306">
        <v>81327</v>
      </c>
      <c r="O60" s="287">
        <v>136715</v>
      </c>
      <c r="P60" s="306">
        <v>66650</v>
      </c>
      <c r="Q60" s="287">
        <v>62608</v>
      </c>
      <c r="R60" s="288">
        <v>18530</v>
      </c>
      <c r="S60" s="306">
        <v>31587</v>
      </c>
      <c r="T60" s="288">
        <v>48853</v>
      </c>
      <c r="U60" s="48"/>
      <c r="V60" s="48"/>
      <c r="W60" s="306"/>
      <c r="X60" s="287">
        <v>163194</v>
      </c>
      <c r="Y60" s="287">
        <v>209016</v>
      </c>
      <c r="AA60" s="287">
        <v>203877</v>
      </c>
      <c r="AC60" s="288">
        <v>120667</v>
      </c>
      <c r="AI60" s="287"/>
      <c r="AJ60" s="288"/>
      <c r="AK60" s="330"/>
      <c r="AL60" s="80">
        <v>10</v>
      </c>
      <c r="AM60" s="328">
        <f t="shared" si="17"/>
        <v>7</v>
      </c>
      <c r="AN60" s="65">
        <f t="shared" si="18"/>
        <v>45360</v>
      </c>
      <c r="AO60" s="66">
        <v>0.75</v>
      </c>
      <c r="AP60" s="67">
        <f t="shared" si="6"/>
        <v>45360.75</v>
      </c>
      <c r="AQ60" s="68">
        <f t="shared" si="7"/>
        <v>10</v>
      </c>
      <c r="AR60" s="68">
        <f t="shared" si="19"/>
        <v>1</v>
      </c>
      <c r="AS60" s="76">
        <v>53657</v>
      </c>
      <c r="AT60" s="77">
        <v>727</v>
      </c>
      <c r="AU60" s="78">
        <f t="shared" si="8"/>
        <v>22</v>
      </c>
      <c r="AV60" s="71">
        <f t="shared" si="20"/>
        <v>2022</v>
      </c>
      <c r="AW60" s="72">
        <f t="shared" si="9"/>
        <v>73.806052269601096</v>
      </c>
      <c r="AX60" s="73">
        <f t="shared" si="21"/>
        <v>91.909090909090907</v>
      </c>
      <c r="AY60" s="73">
        <f t="shared" si="48"/>
        <v>74.922413793103445</v>
      </c>
      <c r="AZ60" s="76">
        <f t="shared" si="57"/>
        <v>53657</v>
      </c>
      <c r="BA60" s="77">
        <f t="shared" si="58"/>
        <v>727</v>
      </c>
      <c r="BB60" s="76">
        <f t="shared" si="59"/>
        <v>53657</v>
      </c>
      <c r="BC60" s="77">
        <f t="shared" si="60"/>
        <v>727</v>
      </c>
      <c r="BD60" s="71">
        <f t="shared" si="33"/>
        <v>53657</v>
      </c>
      <c r="BE60" s="74">
        <f t="shared" si="22"/>
        <v>0</v>
      </c>
      <c r="BF60" s="79">
        <f t="shared" si="35"/>
        <v>727</v>
      </c>
      <c r="BG60" s="57">
        <f t="shared" si="12"/>
        <v>0</v>
      </c>
      <c r="BH60" s="71">
        <f t="shared" si="37"/>
        <v>53657</v>
      </c>
      <c r="BI60" s="74">
        <f t="shared" si="13"/>
        <v>0</v>
      </c>
      <c r="BJ60" s="79">
        <f t="shared" si="27"/>
        <v>727</v>
      </c>
      <c r="BK60" s="57">
        <f t="shared" si="14"/>
        <v>0</v>
      </c>
      <c r="BL60" s="71">
        <f t="shared" si="15"/>
        <v>2022</v>
      </c>
      <c r="BM60" s="71">
        <f t="shared" si="16"/>
        <v>5365.7</v>
      </c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</row>
    <row r="61" spans="1:84" s="75" customFormat="1" x14ac:dyDescent="0.3">
      <c r="A61" s="119"/>
      <c r="B61" s="127"/>
      <c r="C61" s="199"/>
      <c r="D61" s="127"/>
      <c r="E61" s="199"/>
      <c r="F61" s="199"/>
      <c r="G61" s="123">
        <v>11</v>
      </c>
      <c r="H61" s="148">
        <f t="shared" si="2"/>
        <v>45361.75</v>
      </c>
      <c r="I61" s="286">
        <f t="shared" si="3"/>
        <v>55502</v>
      </c>
      <c r="J61" s="287"/>
      <c r="K61" s="288"/>
      <c r="L61" s="299">
        <f t="shared" si="4"/>
        <v>55502</v>
      </c>
      <c r="M61" s="300">
        <f t="shared" si="5"/>
        <v>55502</v>
      </c>
      <c r="N61" s="306">
        <v>83062</v>
      </c>
      <c r="O61" s="287">
        <v>139670</v>
      </c>
      <c r="P61" s="306">
        <v>69668</v>
      </c>
      <c r="Q61" s="287">
        <v>63707</v>
      </c>
      <c r="R61" s="288">
        <v>19542</v>
      </c>
      <c r="S61" s="306">
        <v>34703</v>
      </c>
      <c r="T61" s="288">
        <v>50284</v>
      </c>
      <c r="U61" s="48"/>
      <c r="V61" s="48"/>
      <c r="W61" s="306"/>
      <c r="X61" s="287">
        <v>166405</v>
      </c>
      <c r="Y61" s="287">
        <v>214911</v>
      </c>
      <c r="AA61" s="287">
        <v>212794</v>
      </c>
      <c r="AC61" s="288">
        <v>127353</v>
      </c>
      <c r="AI61" s="287"/>
      <c r="AJ61" s="288"/>
      <c r="AK61" s="330"/>
      <c r="AL61" s="80">
        <v>11</v>
      </c>
      <c r="AM61" s="328">
        <f t="shared" si="17"/>
        <v>1</v>
      </c>
      <c r="AN61" s="65">
        <f t="shared" si="18"/>
        <v>45361</v>
      </c>
      <c r="AO61" s="66">
        <v>0.75</v>
      </c>
      <c r="AP61" s="67">
        <f t="shared" si="6"/>
        <v>45361.75</v>
      </c>
      <c r="AQ61" s="68">
        <f t="shared" si="7"/>
        <v>11</v>
      </c>
      <c r="AR61" s="68">
        <f t="shared" si="19"/>
        <v>1</v>
      </c>
      <c r="AS61" s="76">
        <v>55502</v>
      </c>
      <c r="AT61" s="77">
        <v>753</v>
      </c>
      <c r="AU61" s="78">
        <f t="shared" si="8"/>
        <v>26</v>
      </c>
      <c r="AV61" s="71">
        <f t="shared" si="20"/>
        <v>1845</v>
      </c>
      <c r="AW61" s="72">
        <f t="shared" si="9"/>
        <v>73.70783532536521</v>
      </c>
      <c r="AX61" s="73">
        <f t="shared" si="21"/>
        <v>70.961538461538467</v>
      </c>
      <c r="AY61" s="73">
        <f t="shared" si="48"/>
        <v>74.849999999999994</v>
      </c>
      <c r="AZ61" s="76">
        <f t="shared" ref="AZ61" si="61">AS61</f>
        <v>55502</v>
      </c>
      <c r="BA61" s="77">
        <f t="shared" ref="BA61" si="62">AT61</f>
        <v>753</v>
      </c>
      <c r="BB61" s="76">
        <f t="shared" ref="BB61" si="63">AS61</f>
        <v>55502</v>
      </c>
      <c r="BC61" s="77">
        <f t="shared" ref="BC61" si="64">AT61</f>
        <v>753</v>
      </c>
      <c r="BD61" s="71">
        <f t="shared" si="33"/>
        <v>55502</v>
      </c>
      <c r="BE61" s="74">
        <f t="shared" si="22"/>
        <v>0</v>
      </c>
      <c r="BF61" s="79">
        <f t="shared" si="35"/>
        <v>753</v>
      </c>
      <c r="BG61" s="57">
        <f t="shared" si="12"/>
        <v>0</v>
      </c>
      <c r="BH61" s="71">
        <f t="shared" si="37"/>
        <v>55502</v>
      </c>
      <c r="BI61" s="74">
        <f t="shared" si="13"/>
        <v>0</v>
      </c>
      <c r="BJ61" s="79">
        <f t="shared" si="27"/>
        <v>753</v>
      </c>
      <c r="BK61" s="57">
        <f t="shared" si="14"/>
        <v>0</v>
      </c>
      <c r="BL61" s="71">
        <f t="shared" si="15"/>
        <v>1845</v>
      </c>
      <c r="BM61" s="71">
        <f t="shared" si="16"/>
        <v>5045.636363636364</v>
      </c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</row>
    <row r="62" spans="1:84" s="75" customFormat="1" x14ac:dyDescent="0.3">
      <c r="A62" s="119"/>
      <c r="B62" s="127"/>
      <c r="C62" s="199"/>
      <c r="D62" s="127"/>
      <c r="E62" s="199"/>
      <c r="F62" s="199"/>
      <c r="G62" s="123">
        <v>12</v>
      </c>
      <c r="H62" s="148">
        <f t="shared" si="2"/>
        <v>45362.75</v>
      </c>
      <c r="I62" s="286">
        <f t="shared" si="3"/>
        <v>57013</v>
      </c>
      <c r="J62" s="287"/>
      <c r="K62" s="288"/>
      <c r="L62" s="299">
        <f t="shared" si="4"/>
        <v>57013</v>
      </c>
      <c r="M62" s="300">
        <f t="shared" si="5"/>
        <v>57013</v>
      </c>
      <c r="N62" s="306">
        <v>86154</v>
      </c>
      <c r="O62" s="287">
        <v>143057</v>
      </c>
      <c r="P62" s="306">
        <v>71286</v>
      </c>
      <c r="Q62" s="287">
        <v>66094</v>
      </c>
      <c r="R62" s="288">
        <v>20594</v>
      </c>
      <c r="S62" s="306">
        <v>36986</v>
      </c>
      <c r="T62" s="288">
        <v>54218</v>
      </c>
      <c r="U62" s="48"/>
      <c r="V62" s="48"/>
      <c r="W62" s="306">
        <v>125000</v>
      </c>
      <c r="X62" s="287">
        <v>169780</v>
      </c>
      <c r="Y62" s="287">
        <v>220698</v>
      </c>
      <c r="AA62" s="287">
        <v>221864</v>
      </c>
      <c r="AC62" s="288">
        <v>134068</v>
      </c>
      <c r="AI62" s="287"/>
      <c r="AJ62" s="288"/>
      <c r="AK62" s="330"/>
      <c r="AL62" s="80">
        <v>12</v>
      </c>
      <c r="AM62" s="328">
        <f t="shared" si="17"/>
        <v>2</v>
      </c>
      <c r="AN62" s="65">
        <f t="shared" si="18"/>
        <v>45362</v>
      </c>
      <c r="AO62" s="66">
        <v>0.75</v>
      </c>
      <c r="AP62" s="67">
        <f t="shared" si="6"/>
        <v>45362.75</v>
      </c>
      <c r="AQ62" s="68">
        <f t="shared" si="7"/>
        <v>12</v>
      </c>
      <c r="AR62" s="68">
        <f t="shared" si="19"/>
        <v>1</v>
      </c>
      <c r="AS62" s="76">
        <v>57013</v>
      </c>
      <c r="AT62" s="77">
        <v>775</v>
      </c>
      <c r="AU62" s="78">
        <f t="shared" si="8"/>
        <v>22</v>
      </c>
      <c r="AV62" s="71">
        <f t="shared" si="20"/>
        <v>1511</v>
      </c>
      <c r="AW62" s="72">
        <f t="shared" si="9"/>
        <v>73.565161290322578</v>
      </c>
      <c r="AX62" s="73">
        <f t="shared" si="21"/>
        <v>68.681818181818187</v>
      </c>
      <c r="AY62" s="73">
        <f t="shared" si="48"/>
        <v>74.043859649122808</v>
      </c>
      <c r="AZ62" s="76">
        <f t="shared" ref="AZ62" si="65">AS62</f>
        <v>57013</v>
      </c>
      <c r="BA62" s="77">
        <f t="shared" ref="BA62" si="66">AT62</f>
        <v>775</v>
      </c>
      <c r="BB62" s="76">
        <f t="shared" ref="BB62" si="67">AS62</f>
        <v>57013</v>
      </c>
      <c r="BC62" s="77">
        <f t="shared" ref="BC62" si="68">AT62</f>
        <v>775</v>
      </c>
      <c r="BD62" s="71">
        <f t="shared" si="33"/>
        <v>57013</v>
      </c>
      <c r="BE62" s="74">
        <f t="shared" si="22"/>
        <v>0</v>
      </c>
      <c r="BF62" s="79">
        <f t="shared" si="35"/>
        <v>775</v>
      </c>
      <c r="BG62" s="57">
        <f t="shared" si="12"/>
        <v>0</v>
      </c>
      <c r="BH62" s="71">
        <f t="shared" si="37"/>
        <v>57013</v>
      </c>
      <c r="BI62" s="74">
        <f t="shared" si="13"/>
        <v>0</v>
      </c>
      <c r="BJ62" s="79">
        <f t="shared" si="27"/>
        <v>775</v>
      </c>
      <c r="BK62" s="57">
        <f t="shared" si="14"/>
        <v>0</v>
      </c>
      <c r="BL62" s="71">
        <f t="shared" si="15"/>
        <v>1511</v>
      </c>
      <c r="BM62" s="71">
        <f t="shared" si="16"/>
        <v>4751.083333333333</v>
      </c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</row>
    <row r="63" spans="1:84" s="75" customFormat="1" ht="15.75" thickBot="1" x14ac:dyDescent="0.35">
      <c r="A63" s="119"/>
      <c r="B63" s="127"/>
      <c r="C63" s="199"/>
      <c r="D63" s="127"/>
      <c r="E63" s="199"/>
      <c r="F63" s="199"/>
      <c r="G63" s="123">
        <v>13</v>
      </c>
      <c r="H63" s="148">
        <f t="shared" si="2"/>
        <v>45363.75</v>
      </c>
      <c r="I63" s="286">
        <f t="shared" si="3"/>
        <v>57853</v>
      </c>
      <c r="J63" s="287"/>
      <c r="K63" s="288"/>
      <c r="L63" s="299">
        <f t="shared" si="4"/>
        <v>57853</v>
      </c>
      <c r="M63" s="300">
        <f t="shared" si="5"/>
        <v>57853</v>
      </c>
      <c r="N63" s="306">
        <v>89062</v>
      </c>
      <c r="O63" s="287">
        <v>149744</v>
      </c>
      <c r="P63" s="306">
        <v>74079</v>
      </c>
      <c r="Q63" s="287">
        <v>68288</v>
      </c>
      <c r="R63" s="288">
        <v>20809</v>
      </c>
      <c r="S63" s="306">
        <v>37704</v>
      </c>
      <c r="T63" s="288">
        <v>55585</v>
      </c>
      <c r="U63" s="48"/>
      <c r="V63" s="48"/>
      <c r="W63" s="306"/>
      <c r="X63" s="287">
        <v>172436</v>
      </c>
      <c r="Y63" s="287">
        <v>224732</v>
      </c>
      <c r="AA63" s="287">
        <v>229701</v>
      </c>
      <c r="AC63" s="288">
        <v>139930</v>
      </c>
      <c r="AI63" s="287"/>
      <c r="AJ63" s="288"/>
      <c r="AK63" s="330"/>
      <c r="AL63" s="80">
        <v>13</v>
      </c>
      <c r="AM63" s="328">
        <f t="shared" si="17"/>
        <v>3</v>
      </c>
      <c r="AN63" s="65">
        <f t="shared" si="18"/>
        <v>45363</v>
      </c>
      <c r="AO63" s="66">
        <v>0.75</v>
      </c>
      <c r="AP63" s="67">
        <f t="shared" si="6"/>
        <v>45363.75</v>
      </c>
      <c r="AQ63" s="68">
        <f t="shared" si="7"/>
        <v>13</v>
      </c>
      <c r="AR63" s="68">
        <f t="shared" si="19"/>
        <v>1</v>
      </c>
      <c r="AS63" s="76">
        <v>57853</v>
      </c>
      <c r="AT63" s="77">
        <v>789</v>
      </c>
      <c r="AU63" s="78">
        <f t="shared" si="8"/>
        <v>14</v>
      </c>
      <c r="AV63" s="71">
        <f t="shared" si="20"/>
        <v>840</v>
      </c>
      <c r="AW63" s="72">
        <f t="shared" si="9"/>
        <v>73.324461343472748</v>
      </c>
      <c r="AX63" s="73">
        <f t="shared" si="21"/>
        <v>60</v>
      </c>
      <c r="AY63" s="73">
        <f t="shared" si="48"/>
        <v>73.705882352941174</v>
      </c>
      <c r="AZ63" s="76">
        <f t="shared" ref="AZ63" si="69">AS63</f>
        <v>57853</v>
      </c>
      <c r="BA63" s="77">
        <f t="shared" ref="BA63" si="70">AT63</f>
        <v>789</v>
      </c>
      <c r="BB63" s="76">
        <f t="shared" ref="BB63" si="71">AS63</f>
        <v>57853</v>
      </c>
      <c r="BC63" s="77">
        <f t="shared" ref="BC63" si="72">AT63</f>
        <v>789</v>
      </c>
      <c r="BD63" s="71">
        <f t="shared" si="33"/>
        <v>57853</v>
      </c>
      <c r="BE63" s="74">
        <f t="shared" si="22"/>
        <v>0</v>
      </c>
      <c r="BF63" s="79">
        <f t="shared" si="35"/>
        <v>789</v>
      </c>
      <c r="BG63" s="57">
        <f t="shared" si="12"/>
        <v>0</v>
      </c>
      <c r="BH63" s="71">
        <f t="shared" si="37"/>
        <v>57853</v>
      </c>
      <c r="BI63" s="74">
        <f t="shared" si="13"/>
        <v>0</v>
      </c>
      <c r="BJ63" s="79">
        <f t="shared" si="27"/>
        <v>789</v>
      </c>
      <c r="BK63" s="57">
        <f t="shared" si="14"/>
        <v>0</v>
      </c>
      <c r="BL63" s="71">
        <f t="shared" si="15"/>
        <v>840</v>
      </c>
      <c r="BM63" s="71">
        <f t="shared" si="16"/>
        <v>4450.2307692307695</v>
      </c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</row>
    <row r="64" spans="1:84" s="75" customFormat="1" ht="15.75" thickBot="1" x14ac:dyDescent="0.35">
      <c r="A64" s="119"/>
      <c r="B64" s="127"/>
      <c r="C64" s="199"/>
      <c r="D64" s="127"/>
      <c r="E64" s="199"/>
      <c r="F64" s="199"/>
      <c r="G64" s="123">
        <v>14</v>
      </c>
      <c r="H64" s="148">
        <f t="shared" si="2"/>
        <v>45364.75</v>
      </c>
      <c r="I64" s="286">
        <f t="shared" si="3"/>
        <v>59064</v>
      </c>
      <c r="J64" s="287"/>
      <c r="K64" s="288"/>
      <c r="L64" s="299">
        <f t="shared" si="4"/>
        <v>59064</v>
      </c>
      <c r="M64" s="300">
        <f t="shared" si="5"/>
        <v>59064</v>
      </c>
      <c r="N64" s="306">
        <v>93109</v>
      </c>
      <c r="O64" s="287">
        <v>155980</v>
      </c>
      <c r="P64" s="306">
        <v>75411</v>
      </c>
      <c r="Q64" s="287">
        <v>71648</v>
      </c>
      <c r="R64" s="288">
        <v>21426</v>
      </c>
      <c r="S64" s="306">
        <v>38541</v>
      </c>
      <c r="T64" s="288">
        <v>57658</v>
      </c>
      <c r="U64" s="48"/>
      <c r="V64" s="48"/>
      <c r="W64" s="306"/>
      <c r="X64" s="287">
        <v>176629</v>
      </c>
      <c r="Y64" s="287">
        <v>232641</v>
      </c>
      <c r="AA64" s="287">
        <v>240791</v>
      </c>
      <c r="AC64" s="288">
        <v>148846</v>
      </c>
      <c r="AI64" s="287"/>
      <c r="AJ64" s="288"/>
      <c r="AK64" s="330"/>
      <c r="AL64" s="80">
        <v>14</v>
      </c>
      <c r="AM64" s="450">
        <f t="shared" si="17"/>
        <v>4</v>
      </c>
      <c r="AN64" s="449">
        <f t="shared" si="18"/>
        <v>45364</v>
      </c>
      <c r="AO64" s="66">
        <v>0.75</v>
      </c>
      <c r="AP64" s="67">
        <f t="shared" si="6"/>
        <v>45364.75</v>
      </c>
      <c r="AQ64" s="68">
        <f t="shared" si="7"/>
        <v>14</v>
      </c>
      <c r="AR64" s="68">
        <f t="shared" si="19"/>
        <v>1</v>
      </c>
      <c r="AS64" s="76">
        <v>59064</v>
      </c>
      <c r="AT64" s="77">
        <v>806</v>
      </c>
      <c r="AU64" s="78">
        <f t="shared" si="8"/>
        <v>17</v>
      </c>
      <c r="AV64" s="71">
        <f t="shared" si="20"/>
        <v>1211</v>
      </c>
      <c r="AW64" s="72">
        <f t="shared" si="9"/>
        <v>73.280397022332508</v>
      </c>
      <c r="AX64" s="73">
        <f t="shared" si="21"/>
        <v>71.235294117647058</v>
      </c>
      <c r="AY64" s="73">
        <f t="shared" si="48"/>
        <v>73.554455445544548</v>
      </c>
      <c r="AZ64" s="76">
        <f t="shared" ref="AZ64:AZ65" si="73">AS64</f>
        <v>59064</v>
      </c>
      <c r="BA64" s="77">
        <f t="shared" ref="BA64:BA65" si="74">AT64</f>
        <v>806</v>
      </c>
      <c r="BB64" s="76">
        <f t="shared" ref="BB64:BB65" si="75">AS64</f>
        <v>59064</v>
      </c>
      <c r="BC64" s="77">
        <f t="shared" ref="BC64:BC65" si="76">AT64</f>
        <v>806</v>
      </c>
      <c r="BD64" s="71">
        <f t="shared" si="33"/>
        <v>59064</v>
      </c>
      <c r="BE64" s="74">
        <f t="shared" si="22"/>
        <v>0</v>
      </c>
      <c r="BF64" s="79">
        <f t="shared" si="35"/>
        <v>806</v>
      </c>
      <c r="BG64" s="57">
        <f t="shared" si="12"/>
        <v>0</v>
      </c>
      <c r="BH64" s="71">
        <f t="shared" si="37"/>
        <v>59064</v>
      </c>
      <c r="BI64" s="74">
        <f t="shared" si="13"/>
        <v>0</v>
      </c>
      <c r="BJ64" s="79">
        <f t="shared" si="27"/>
        <v>806</v>
      </c>
      <c r="BK64" s="57">
        <f t="shared" si="14"/>
        <v>0</v>
      </c>
      <c r="BL64" s="71">
        <f t="shared" si="15"/>
        <v>1211</v>
      </c>
      <c r="BM64" s="71">
        <f t="shared" si="16"/>
        <v>4218.8571428571431</v>
      </c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</row>
    <row r="65" spans="1:84" s="75" customFormat="1" ht="15.75" thickBot="1" x14ac:dyDescent="0.35">
      <c r="A65" s="119"/>
      <c r="B65" s="127"/>
      <c r="C65" s="199"/>
      <c r="D65" s="127"/>
      <c r="E65" s="199"/>
      <c r="F65" s="199"/>
      <c r="G65" s="123">
        <v>15</v>
      </c>
      <c r="H65" s="148">
        <f t="shared" si="2"/>
        <v>45365.75</v>
      </c>
      <c r="I65" s="286">
        <f t="shared" si="3"/>
        <v>60362</v>
      </c>
      <c r="J65" s="287"/>
      <c r="K65" s="288"/>
      <c r="L65" s="299">
        <f t="shared" si="4"/>
        <v>60362</v>
      </c>
      <c r="M65" s="300">
        <f t="shared" si="5"/>
        <v>60362</v>
      </c>
      <c r="N65" s="306">
        <v>97466</v>
      </c>
      <c r="O65" s="287">
        <v>165152</v>
      </c>
      <c r="P65" s="306">
        <v>77016</v>
      </c>
      <c r="Q65" s="287">
        <v>75191</v>
      </c>
      <c r="R65" s="288">
        <v>22523</v>
      </c>
      <c r="S65" s="306">
        <v>40401</v>
      </c>
      <c r="T65" s="288">
        <v>59154</v>
      </c>
      <c r="U65" s="48"/>
      <c r="V65" s="48"/>
      <c r="W65" s="306"/>
      <c r="X65" s="287">
        <v>188273</v>
      </c>
      <c r="Y65" s="287">
        <v>242719</v>
      </c>
      <c r="AA65" s="287">
        <v>249000</v>
      </c>
      <c r="AC65" s="288">
        <v>159815</v>
      </c>
      <c r="AI65" s="287"/>
      <c r="AJ65" s="288"/>
      <c r="AK65" s="330"/>
      <c r="AL65" s="80">
        <v>15</v>
      </c>
      <c r="AM65" s="328">
        <f t="shared" si="17"/>
        <v>5</v>
      </c>
      <c r="AN65" s="65">
        <f t="shared" si="18"/>
        <v>45365</v>
      </c>
      <c r="AO65" s="66">
        <v>0.75</v>
      </c>
      <c r="AP65" s="67">
        <f t="shared" si="6"/>
        <v>45365.75</v>
      </c>
      <c r="AQ65" s="68">
        <f t="shared" si="7"/>
        <v>15</v>
      </c>
      <c r="AR65" s="68">
        <f t="shared" si="19"/>
        <v>1</v>
      </c>
      <c r="AS65" s="76">
        <v>60362</v>
      </c>
      <c r="AT65" s="77">
        <v>825</v>
      </c>
      <c r="AU65" s="453">
        <f t="shared" si="8"/>
        <v>19</v>
      </c>
      <c r="AV65" s="454">
        <f t="shared" si="20"/>
        <v>1298</v>
      </c>
      <c r="AW65" s="72">
        <f t="shared" si="9"/>
        <v>73.166060606060611</v>
      </c>
      <c r="AX65" s="73">
        <f t="shared" si="21"/>
        <v>68.315789473684205</v>
      </c>
      <c r="AY65" s="73">
        <f t="shared" si="48"/>
        <v>68.41836734693878</v>
      </c>
      <c r="AZ65" s="76">
        <f t="shared" si="73"/>
        <v>60362</v>
      </c>
      <c r="BA65" s="77">
        <f t="shared" si="74"/>
        <v>825</v>
      </c>
      <c r="BB65" s="76">
        <f t="shared" si="75"/>
        <v>60362</v>
      </c>
      <c r="BC65" s="77">
        <f t="shared" si="76"/>
        <v>825</v>
      </c>
      <c r="BD65" s="71">
        <f t="shared" si="33"/>
        <v>60362</v>
      </c>
      <c r="BE65" s="74">
        <f t="shared" si="22"/>
        <v>0</v>
      </c>
      <c r="BF65" s="79">
        <f t="shared" si="35"/>
        <v>825</v>
      </c>
      <c r="BG65" s="57">
        <f t="shared" si="12"/>
        <v>0</v>
      </c>
      <c r="BH65" s="71">
        <f t="shared" si="37"/>
        <v>60362</v>
      </c>
      <c r="BI65" s="74">
        <f t="shared" si="13"/>
        <v>0</v>
      </c>
      <c r="BJ65" s="79">
        <f t="shared" si="27"/>
        <v>825</v>
      </c>
      <c r="BK65" s="57">
        <f t="shared" si="14"/>
        <v>0</v>
      </c>
      <c r="BL65" s="71">
        <f t="shared" si="15"/>
        <v>1298</v>
      </c>
      <c r="BM65" s="71">
        <f t="shared" si="16"/>
        <v>4024.1333333333332</v>
      </c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</row>
    <row r="66" spans="1:84" s="75" customFormat="1" x14ac:dyDescent="0.3">
      <c r="A66" s="119"/>
      <c r="B66" s="127"/>
      <c r="C66" s="199"/>
      <c r="D66" s="127"/>
      <c r="E66" s="199"/>
      <c r="F66" s="199"/>
      <c r="G66" s="123">
        <v>16</v>
      </c>
      <c r="H66" s="148">
        <f t="shared" si="2"/>
        <v>45366.75</v>
      </c>
      <c r="I66" s="286">
        <f t="shared" si="3"/>
        <v>61360</v>
      </c>
      <c r="J66" s="287"/>
      <c r="K66" s="288"/>
      <c r="L66" s="299">
        <f t="shared" si="4"/>
        <v>61360</v>
      </c>
      <c r="M66" s="300">
        <f t="shared" si="5"/>
        <v>61360</v>
      </c>
      <c r="N66" s="306">
        <v>103452</v>
      </c>
      <c r="O66" s="287">
        <v>174081</v>
      </c>
      <c r="P66" s="306">
        <v>80049</v>
      </c>
      <c r="Q66" s="287">
        <v>78668</v>
      </c>
      <c r="R66" s="288">
        <v>23503</v>
      </c>
      <c r="S66" s="306">
        <v>42277</v>
      </c>
      <c r="T66" s="288">
        <v>61842</v>
      </c>
      <c r="U66" s="48"/>
      <c r="V66" s="48"/>
      <c r="W66" s="306"/>
      <c r="X66" s="287">
        <v>193264</v>
      </c>
      <c r="Y66" s="287">
        <v>251181</v>
      </c>
      <c r="AA66" s="287">
        <v>257666</v>
      </c>
      <c r="AC66" s="288">
        <v>167089</v>
      </c>
      <c r="AI66" s="287"/>
      <c r="AJ66" s="288"/>
      <c r="AK66" s="330"/>
      <c r="AL66" s="80">
        <v>16</v>
      </c>
      <c r="AM66" s="328">
        <f t="shared" si="17"/>
        <v>6</v>
      </c>
      <c r="AN66" s="65">
        <f t="shared" si="18"/>
        <v>45366</v>
      </c>
      <c r="AO66" s="66">
        <v>0.75</v>
      </c>
      <c r="AP66" s="67">
        <f t="shared" si="6"/>
        <v>45366.75</v>
      </c>
      <c r="AQ66" s="68">
        <f t="shared" si="7"/>
        <v>16</v>
      </c>
      <c r="AR66" s="68">
        <f t="shared" si="19"/>
        <v>1</v>
      </c>
      <c r="AS66" s="76">
        <v>61360</v>
      </c>
      <c r="AT66" s="77">
        <v>836</v>
      </c>
      <c r="AU66" s="78">
        <f t="shared" si="8"/>
        <v>11</v>
      </c>
      <c r="AV66" s="71">
        <f t="shared" si="20"/>
        <v>998</v>
      </c>
      <c r="AW66" s="72">
        <f t="shared" si="9"/>
        <v>73.397129186602868</v>
      </c>
      <c r="AX66" s="73">
        <f t="shared" si="21"/>
        <v>90.727272727272734</v>
      </c>
      <c r="AY66" s="73">
        <f t="shared" si="48"/>
        <v>70.578313253012041</v>
      </c>
      <c r="AZ66" s="76">
        <f t="shared" ref="AZ66" si="77">AS66</f>
        <v>61360</v>
      </c>
      <c r="BA66" s="77">
        <f t="shared" ref="BA66" si="78">AT66</f>
        <v>836</v>
      </c>
      <c r="BB66" s="76">
        <f t="shared" ref="BB66" si="79">AS66</f>
        <v>61360</v>
      </c>
      <c r="BC66" s="77">
        <f t="shared" ref="BC66" si="80">AT66</f>
        <v>836</v>
      </c>
      <c r="BD66" s="71">
        <f t="shared" ref="BD66" si="81">AZ66</f>
        <v>61360</v>
      </c>
      <c r="BE66" s="74">
        <f t="shared" ref="BE66" si="82">AS66-BD66</f>
        <v>0</v>
      </c>
      <c r="BF66" s="79">
        <f t="shared" ref="BF66" si="83">BA66</f>
        <v>836</v>
      </c>
      <c r="BG66" s="57">
        <f t="shared" ref="BG66" si="84">AT66-BF66</f>
        <v>0</v>
      </c>
      <c r="BH66" s="71">
        <f t="shared" ref="BH66" si="85">BB66</f>
        <v>61360</v>
      </c>
      <c r="BI66" s="74">
        <f t="shared" ref="BI66" si="86">AS66-BH66</f>
        <v>0</v>
      </c>
      <c r="BJ66" s="79">
        <f t="shared" ref="BJ66" si="87">BC66</f>
        <v>836</v>
      </c>
      <c r="BK66" s="57">
        <f t="shared" si="14"/>
        <v>0</v>
      </c>
      <c r="BL66" s="71">
        <f t="shared" si="15"/>
        <v>998</v>
      </c>
      <c r="BM66" s="71">
        <f t="shared" si="16"/>
        <v>3835</v>
      </c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</row>
    <row r="67" spans="1:84" s="75" customFormat="1" x14ac:dyDescent="0.3">
      <c r="A67" s="119"/>
      <c r="B67" s="127"/>
      <c r="C67" s="199"/>
      <c r="D67" s="127"/>
      <c r="E67" s="199"/>
      <c r="F67" s="199"/>
      <c r="G67" s="123">
        <v>17</v>
      </c>
      <c r="H67" s="148">
        <f t="shared" si="2"/>
        <v>45367.75</v>
      </c>
      <c r="I67" s="286">
        <f t="shared" si="3"/>
        <v>63787</v>
      </c>
      <c r="J67" s="287"/>
      <c r="K67" s="288"/>
      <c r="L67" s="299">
        <f t="shared" si="4"/>
        <v>61864.435390446917</v>
      </c>
      <c r="M67" s="300">
        <f t="shared" si="5"/>
        <v>67559.88497108678</v>
      </c>
      <c r="N67" s="306">
        <v>109547</v>
      </c>
      <c r="O67" s="287">
        <v>181054</v>
      </c>
      <c r="P67" s="306">
        <v>86833</v>
      </c>
      <c r="Q67" s="287">
        <v>83940</v>
      </c>
      <c r="R67" s="288">
        <v>23945</v>
      </c>
      <c r="S67" s="306">
        <v>44039</v>
      </c>
      <c r="T67" s="288">
        <v>64258</v>
      </c>
      <c r="U67" s="48"/>
      <c r="V67" s="48"/>
      <c r="W67" s="306"/>
      <c r="X67" s="287">
        <v>198261</v>
      </c>
      <c r="Y67" s="287">
        <v>258252</v>
      </c>
      <c r="AA67" s="287">
        <v>268894</v>
      </c>
      <c r="AC67" s="288">
        <v>174268</v>
      </c>
      <c r="AI67" s="287"/>
      <c r="AJ67" s="288"/>
      <c r="AK67" s="330"/>
      <c r="AL67" s="80">
        <v>17</v>
      </c>
      <c r="AM67" s="328">
        <f t="shared" si="17"/>
        <v>7</v>
      </c>
      <c r="AN67" s="65">
        <f t="shared" si="18"/>
        <v>45367</v>
      </c>
      <c r="AO67" s="66">
        <v>0.75</v>
      </c>
      <c r="AP67" s="67">
        <f t="shared" si="6"/>
        <v>45367.75</v>
      </c>
      <c r="AQ67" s="68">
        <f t="shared" si="7"/>
        <v>17</v>
      </c>
      <c r="AR67" s="68">
        <f t="shared" si="19"/>
        <v>1</v>
      </c>
      <c r="AS67" s="76">
        <v>63787</v>
      </c>
      <c r="AT67" s="77">
        <v>865</v>
      </c>
      <c r="AU67" s="78">
        <f t="shared" si="8"/>
        <v>29</v>
      </c>
      <c r="AV67" s="71">
        <f t="shared" si="20"/>
        <v>2427</v>
      </c>
      <c r="AW67" s="72">
        <f t="shared" si="9"/>
        <v>73.742196531791905</v>
      </c>
      <c r="AX67" s="73">
        <f t="shared" si="21"/>
        <v>83.689655172413794</v>
      </c>
      <c r="AY67" s="73">
        <f t="shared" si="48"/>
        <v>75.266666666666666</v>
      </c>
      <c r="AZ67" s="76">
        <f t="shared" ref="AZ67" si="88">AS67</f>
        <v>63787</v>
      </c>
      <c r="BA67" s="77">
        <f t="shared" ref="BA67" si="89">AT67</f>
        <v>865</v>
      </c>
      <c r="BB67" s="76">
        <f t="shared" ref="BB67" si="90">AS67</f>
        <v>63787</v>
      </c>
      <c r="BC67" s="77">
        <f t="shared" ref="BC67" si="91">AT67</f>
        <v>865</v>
      </c>
      <c r="BD67" s="71">
        <f>BD66+(BD$73-$BD$66)*Vergleich!AG94</f>
        <v>61864.435390446917</v>
      </c>
      <c r="BE67" s="74">
        <f t="shared" si="22"/>
        <v>1922.5646095530828</v>
      </c>
      <c r="BF67" s="79">
        <f>ROUND(BF66+(BF$73-$BF$66)*Vergleich!AH94,)</f>
        <v>842</v>
      </c>
      <c r="BG67" s="57">
        <f t="shared" si="12"/>
        <v>23</v>
      </c>
      <c r="BH67" s="71">
        <f>BH66+(BH$73-$BH$66)*Vergleich!L94</f>
        <v>67559.88497108678</v>
      </c>
      <c r="BI67" s="74">
        <f t="shared" si="13"/>
        <v>-3772.8849710867798</v>
      </c>
      <c r="BJ67" s="79">
        <f>ROUND(BJ66+(BJ$73-$BJ$66)*Vergleich!M94,)</f>
        <v>953</v>
      </c>
      <c r="BK67" s="57">
        <f t="shared" si="14"/>
        <v>-88</v>
      </c>
      <c r="BL67" s="71">
        <f t="shared" si="15"/>
        <v>2427</v>
      </c>
      <c r="BM67" s="71">
        <f t="shared" si="16"/>
        <v>3752.1764705882351</v>
      </c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</row>
    <row r="68" spans="1:84" s="75" customFormat="1" x14ac:dyDescent="0.3">
      <c r="A68" s="119"/>
      <c r="B68" s="127"/>
      <c r="C68" s="199"/>
      <c r="D68" s="127"/>
      <c r="E68" s="199"/>
      <c r="F68" s="199"/>
      <c r="G68" s="123">
        <v>18</v>
      </c>
      <c r="H68" s="148">
        <f t="shared" si="2"/>
        <v>45368.75</v>
      </c>
      <c r="I68" s="286">
        <f t="shared" si="3"/>
        <v>66341</v>
      </c>
      <c r="J68" s="287"/>
      <c r="K68" s="288"/>
      <c r="L68" s="299">
        <f t="shared" si="4"/>
        <v>63368.611509471892</v>
      </c>
      <c r="M68" s="300">
        <f t="shared" si="5"/>
        <v>72258.235300738481</v>
      </c>
      <c r="N68" s="306">
        <v>115420</v>
      </c>
      <c r="O68" s="287">
        <v>187527</v>
      </c>
      <c r="P68" s="306">
        <v>91974</v>
      </c>
      <c r="Q68" s="287">
        <v>87091</v>
      </c>
      <c r="R68" s="288">
        <v>25263</v>
      </c>
      <c r="S68" s="306">
        <v>46661</v>
      </c>
      <c r="T68" s="288">
        <v>66749</v>
      </c>
      <c r="U68" s="48"/>
      <c r="V68" s="48"/>
      <c r="W68" s="306"/>
      <c r="X68" s="287">
        <v>203119</v>
      </c>
      <c r="Y68" s="287">
        <v>267342</v>
      </c>
      <c r="AA68" s="287">
        <v>280832</v>
      </c>
      <c r="AC68" s="288">
        <v>180234</v>
      </c>
      <c r="AI68" s="287"/>
      <c r="AJ68" s="288"/>
      <c r="AK68" s="330"/>
      <c r="AL68" s="80">
        <v>18</v>
      </c>
      <c r="AM68" s="328">
        <f t="shared" si="17"/>
        <v>1</v>
      </c>
      <c r="AN68" s="65">
        <f t="shared" si="18"/>
        <v>45368</v>
      </c>
      <c r="AO68" s="66">
        <v>0.75</v>
      </c>
      <c r="AP68" s="67">
        <f t="shared" si="6"/>
        <v>45368.75</v>
      </c>
      <c r="AQ68" s="68">
        <f t="shared" si="7"/>
        <v>18</v>
      </c>
      <c r="AR68" s="68">
        <f t="shared" si="19"/>
        <v>1</v>
      </c>
      <c r="AS68" s="76">
        <v>66341</v>
      </c>
      <c r="AT68" s="77">
        <v>892</v>
      </c>
      <c r="AU68" s="78">
        <f t="shared" si="8"/>
        <v>27</v>
      </c>
      <c r="AV68" s="71">
        <f t="shared" si="20"/>
        <v>2554</v>
      </c>
      <c r="AW68" s="72">
        <f t="shared" si="9"/>
        <v>74.373318385650222</v>
      </c>
      <c r="AX68" s="73">
        <f t="shared" si="21"/>
        <v>94.592592592592595</v>
      </c>
      <c r="AY68" s="73">
        <f t="shared" si="48"/>
        <v>82.407766990291265</v>
      </c>
      <c r="AZ68" s="76">
        <f t="shared" ref="AZ68" si="92">AS68</f>
        <v>66341</v>
      </c>
      <c r="BA68" s="77">
        <f t="shared" ref="BA68" si="93">AT68</f>
        <v>892</v>
      </c>
      <c r="BB68" s="76">
        <f t="shared" ref="BB68" si="94">AS68</f>
        <v>66341</v>
      </c>
      <c r="BC68" s="77">
        <f t="shared" ref="BC68" si="95">AT68</f>
        <v>892</v>
      </c>
      <c r="BD68" s="71">
        <f>BD67+(BD$73-$BD$66)*Vergleich!AG95</f>
        <v>63368.611509471892</v>
      </c>
      <c r="BE68" s="71">
        <f t="shared" si="22"/>
        <v>2972.3884905281084</v>
      </c>
      <c r="BF68" s="79">
        <f>ROUND(BF67+(BF$73-$BF$66)*Vergleich!AH95,)</f>
        <v>864</v>
      </c>
      <c r="BG68" s="50">
        <f t="shared" si="12"/>
        <v>28</v>
      </c>
      <c r="BH68" s="71">
        <f>BH67+(BH$73-$BH$66)*Vergleich!L95</f>
        <v>72258.235300738481</v>
      </c>
      <c r="BI68" s="71">
        <f t="shared" si="13"/>
        <v>-5917.2353007384809</v>
      </c>
      <c r="BJ68" s="79">
        <f>ROUND(BJ67+(BJ$73-$BJ$66)*Vergleich!M95,)</f>
        <v>1027</v>
      </c>
      <c r="BK68" s="50">
        <f t="shared" si="14"/>
        <v>-135</v>
      </c>
      <c r="BL68" s="71">
        <f t="shared" si="15"/>
        <v>2554</v>
      </c>
      <c r="BM68" s="71">
        <f t="shared" si="16"/>
        <v>3685.6111111111113</v>
      </c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</row>
    <row r="69" spans="1:84" s="75" customFormat="1" x14ac:dyDescent="0.3">
      <c r="A69" s="119"/>
      <c r="B69" s="127"/>
      <c r="C69" s="199"/>
      <c r="D69" s="127"/>
      <c r="E69" s="199"/>
      <c r="F69" s="199"/>
      <c r="G69" s="123">
        <v>19</v>
      </c>
      <c r="H69" s="148">
        <f t="shared" si="2"/>
        <v>45369.75</v>
      </c>
      <c r="I69" s="286">
        <f t="shared" si="3"/>
        <v>71736</v>
      </c>
      <c r="J69" s="287"/>
      <c r="K69" s="288"/>
      <c r="L69" s="299">
        <f t="shared" si="4"/>
        <v>65017.727209009892</v>
      </c>
      <c r="M69" s="300">
        <f t="shared" si="5"/>
        <v>80662.442581710478</v>
      </c>
      <c r="N69" s="306">
        <v>123542</v>
      </c>
      <c r="O69" s="287">
        <v>197700</v>
      </c>
      <c r="P69" s="306">
        <v>101170</v>
      </c>
      <c r="Q69" s="287">
        <v>91598</v>
      </c>
      <c r="R69" s="288">
        <v>26708</v>
      </c>
      <c r="S69" s="306">
        <v>49576</v>
      </c>
      <c r="T69" s="288">
        <v>71433</v>
      </c>
      <c r="U69" s="48"/>
      <c r="V69" s="48"/>
      <c r="W69" s="306"/>
      <c r="X69" s="287">
        <v>212186</v>
      </c>
      <c r="Y69" s="287">
        <v>279921</v>
      </c>
      <c r="AA69" s="287">
        <v>299641</v>
      </c>
      <c r="AC69" s="288">
        <v>197561</v>
      </c>
      <c r="AI69" s="287"/>
      <c r="AJ69" s="288"/>
      <c r="AK69" s="330"/>
      <c r="AL69" s="80">
        <v>19</v>
      </c>
      <c r="AM69" s="328">
        <f t="shared" si="17"/>
        <v>2</v>
      </c>
      <c r="AN69" s="65">
        <f t="shared" si="18"/>
        <v>45369</v>
      </c>
      <c r="AO69" s="66">
        <v>0.75</v>
      </c>
      <c r="AP69" s="67">
        <f t="shared" si="6"/>
        <v>45369.75</v>
      </c>
      <c r="AQ69" s="68">
        <f t="shared" si="7"/>
        <v>19</v>
      </c>
      <c r="AR69" s="68">
        <f t="shared" si="19"/>
        <v>1</v>
      </c>
      <c r="AS69" s="76">
        <v>71736</v>
      </c>
      <c r="AT69" s="77">
        <v>973</v>
      </c>
      <c r="AU69" s="78">
        <f t="shared" si="8"/>
        <v>81</v>
      </c>
      <c r="AV69" s="71">
        <f t="shared" si="20"/>
        <v>5395</v>
      </c>
      <c r="AW69" s="72">
        <f t="shared" si="9"/>
        <v>73.726618705035975</v>
      </c>
      <c r="AX69" s="73">
        <f t="shared" si="21"/>
        <v>66.604938271604937</v>
      </c>
      <c r="AY69" s="73">
        <f t="shared" si="48"/>
        <v>75.880239520958085</v>
      </c>
      <c r="AZ69" s="76">
        <f t="shared" ref="AZ69" si="96">AS69</f>
        <v>71736</v>
      </c>
      <c r="BA69" s="77">
        <f t="shared" ref="BA69" si="97">AT69</f>
        <v>973</v>
      </c>
      <c r="BB69" s="76">
        <f t="shared" ref="BB69" si="98">AS69</f>
        <v>71736</v>
      </c>
      <c r="BC69" s="77">
        <f t="shared" ref="BC69" si="99">AT69</f>
        <v>973</v>
      </c>
      <c r="BD69" s="71">
        <f>BD68+(BD$73-$BD$66)*Vergleich!AG96</f>
        <v>65017.727209009892</v>
      </c>
      <c r="BE69" s="71">
        <f t="shared" si="22"/>
        <v>6718.2727909901078</v>
      </c>
      <c r="BF69" s="79">
        <f>ROUND(BF68+(BF$73-$BF$66)*Vergleich!AH96,)</f>
        <v>888</v>
      </c>
      <c r="BG69" s="50">
        <f t="shared" si="12"/>
        <v>85</v>
      </c>
      <c r="BH69" s="71">
        <f>BH68+(BH$73-$BH$66)*Vergleich!L96</f>
        <v>80662.442581710478</v>
      </c>
      <c r="BI69" s="71">
        <f t="shared" si="13"/>
        <v>-8926.4425817104784</v>
      </c>
      <c r="BJ69" s="79">
        <f>ROUND(BJ68+(BJ$73-$BJ$66)*Vergleich!M96,)</f>
        <v>1123</v>
      </c>
      <c r="BK69" s="50">
        <f t="shared" si="14"/>
        <v>-150</v>
      </c>
      <c r="BL69" s="71">
        <f t="shared" si="15"/>
        <v>5395</v>
      </c>
      <c r="BM69" s="71">
        <f t="shared" si="16"/>
        <v>3775.5789473684213</v>
      </c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</row>
    <row r="70" spans="1:84" s="75" customFormat="1" ht="15.75" thickBot="1" x14ac:dyDescent="0.35">
      <c r="A70" s="119"/>
      <c r="B70" s="127"/>
      <c r="C70" s="199"/>
      <c r="D70" s="127"/>
      <c r="E70" s="199"/>
      <c r="F70" s="199"/>
      <c r="G70" s="123">
        <v>20</v>
      </c>
      <c r="H70" s="148">
        <f t="shared" si="2"/>
        <v>45370.75</v>
      </c>
      <c r="I70" s="286">
        <f t="shared" si="3"/>
        <v>76619</v>
      </c>
      <c r="J70" s="287"/>
      <c r="K70" s="288"/>
      <c r="L70" s="299">
        <f t="shared" si="4"/>
        <v>68932.237139401128</v>
      </c>
      <c r="M70" s="300">
        <f t="shared" si="5"/>
        <v>87692.147062488701</v>
      </c>
      <c r="N70" s="306">
        <v>130324</v>
      </c>
      <c r="O70" s="287">
        <v>205967</v>
      </c>
      <c r="P70" s="306">
        <v>108862</v>
      </c>
      <c r="Q70" s="287">
        <v>99702</v>
      </c>
      <c r="R70" s="288">
        <v>30138</v>
      </c>
      <c r="S70" s="306">
        <v>54612</v>
      </c>
      <c r="T70" s="288">
        <v>78993</v>
      </c>
      <c r="U70" s="48"/>
      <c r="V70" s="48"/>
      <c r="W70" s="306"/>
      <c r="X70" s="287">
        <v>220897</v>
      </c>
      <c r="Y70" s="287">
        <v>295660</v>
      </c>
      <c r="AA70" s="287">
        <v>330836</v>
      </c>
      <c r="AC70" s="288">
        <v>214259</v>
      </c>
      <c r="AI70" s="287"/>
      <c r="AJ70" s="288"/>
      <c r="AK70" s="330"/>
      <c r="AL70" s="80">
        <v>20</v>
      </c>
      <c r="AM70" s="328">
        <f t="shared" si="17"/>
        <v>3</v>
      </c>
      <c r="AN70" s="65">
        <f t="shared" si="18"/>
        <v>45370</v>
      </c>
      <c r="AO70" s="66">
        <v>0.75</v>
      </c>
      <c r="AP70" s="67">
        <f t="shared" si="6"/>
        <v>45370.75</v>
      </c>
      <c r="AQ70" s="68">
        <f t="shared" si="7"/>
        <v>20</v>
      </c>
      <c r="AR70" s="68">
        <f t="shared" si="19"/>
        <v>1</v>
      </c>
      <c r="AS70" s="76">
        <v>76619</v>
      </c>
      <c r="AT70" s="77">
        <v>1053</v>
      </c>
      <c r="AU70" s="78">
        <f t="shared" si="8"/>
        <v>80</v>
      </c>
      <c r="AV70" s="71">
        <f t="shared" si="20"/>
        <v>4883</v>
      </c>
      <c r="AW70" s="72">
        <f t="shared" si="9"/>
        <v>72.762583095916426</v>
      </c>
      <c r="AX70" s="73">
        <f t="shared" si="21"/>
        <v>61.037500000000001</v>
      </c>
      <c r="AY70" s="73">
        <f t="shared" si="48"/>
        <v>71.30263157894737</v>
      </c>
      <c r="AZ70" s="76">
        <f t="shared" ref="AZ70" si="100">AS70</f>
        <v>76619</v>
      </c>
      <c r="BA70" s="77">
        <f t="shared" ref="BA70" si="101">AT70</f>
        <v>1053</v>
      </c>
      <c r="BB70" s="76">
        <f t="shared" ref="BB70" si="102">AS70</f>
        <v>76619</v>
      </c>
      <c r="BC70" s="77">
        <f t="shared" ref="BC70" si="103">AT70</f>
        <v>1053</v>
      </c>
      <c r="BD70" s="71">
        <f>BD69+(BD$73-$BD$66)*Vergleich!AG97</f>
        <v>68932.237139401128</v>
      </c>
      <c r="BE70" s="71">
        <f t="shared" si="22"/>
        <v>7686.7628605988721</v>
      </c>
      <c r="BF70" s="79">
        <f>ROUND(BF69+(BF$73-$BF$66)*Vergleich!AH97,)</f>
        <v>946</v>
      </c>
      <c r="BG70" s="50">
        <f t="shared" si="12"/>
        <v>107</v>
      </c>
      <c r="BH70" s="71">
        <f>BH69+(BH$73-$BH$66)*Vergleich!L97</f>
        <v>87692.147062488701</v>
      </c>
      <c r="BI70" s="71">
        <f t="shared" si="13"/>
        <v>-11073.147062488701</v>
      </c>
      <c r="BJ70" s="79">
        <f>ROUND(BJ69+(BJ$73-$BJ$66)*Vergleich!M97,)</f>
        <v>1219</v>
      </c>
      <c r="BK70" s="50">
        <f t="shared" si="14"/>
        <v>-166</v>
      </c>
      <c r="BL70" s="71">
        <f t="shared" si="15"/>
        <v>4883</v>
      </c>
      <c r="BM70" s="71">
        <f t="shared" si="16"/>
        <v>3830.95</v>
      </c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</row>
    <row r="71" spans="1:84" s="92" customFormat="1" ht="15.75" thickBot="1" x14ac:dyDescent="0.35">
      <c r="A71" s="120"/>
      <c r="B71" s="121"/>
      <c r="C71" s="200"/>
      <c r="D71" s="121"/>
      <c r="E71" s="200"/>
      <c r="F71" s="200"/>
      <c r="G71" s="123">
        <v>21</v>
      </c>
      <c r="H71" s="148">
        <f t="shared" si="2"/>
        <v>45371.75</v>
      </c>
      <c r="I71" s="473">
        <f t="shared" si="3"/>
        <v>84047</v>
      </c>
      <c r="J71" s="141"/>
      <c r="K71" s="289"/>
      <c r="L71" s="301">
        <f t="shared" si="4"/>
        <v>75905.314595579097</v>
      </c>
      <c r="M71" s="289">
        <f>BH73</f>
        <v>101247.08425163361</v>
      </c>
      <c r="N71" s="520">
        <v>170701</v>
      </c>
      <c r="O71" s="521">
        <v>231430</v>
      </c>
      <c r="P71" s="307">
        <v>123694</v>
      </c>
      <c r="Q71" s="345">
        <v>115113</v>
      </c>
      <c r="R71" s="481">
        <v>36248</v>
      </c>
      <c r="S71" s="489">
        <v>62345</v>
      </c>
      <c r="T71" s="522">
        <v>89991</v>
      </c>
      <c r="U71" s="81"/>
      <c r="V71" s="81"/>
      <c r="W71" s="347">
        <v>266116</v>
      </c>
      <c r="X71" s="463">
        <v>239077</v>
      </c>
      <c r="Y71" s="465">
        <v>324435</v>
      </c>
      <c r="AA71" s="464">
        <v>390507</v>
      </c>
      <c r="AC71" s="471">
        <v>249219</v>
      </c>
      <c r="AI71" s="482"/>
      <c r="AJ71" s="481"/>
      <c r="AK71" s="354"/>
      <c r="AL71" s="82">
        <v>21</v>
      </c>
      <c r="AM71" s="451">
        <f t="shared" si="17"/>
        <v>4</v>
      </c>
      <c r="AN71" s="452">
        <f t="shared" si="18"/>
        <v>45371</v>
      </c>
      <c r="AO71" s="85">
        <v>0.75</v>
      </c>
      <c r="AP71" s="86">
        <f t="shared" si="6"/>
        <v>45371.75</v>
      </c>
      <c r="AQ71" s="87">
        <f t="shared" si="7"/>
        <v>21</v>
      </c>
      <c r="AR71" s="87">
        <f t="shared" si="19"/>
        <v>1</v>
      </c>
      <c r="AS71" s="76">
        <f>V8</f>
        <v>84047</v>
      </c>
      <c r="AT71" s="77">
        <f>V10</f>
        <v>1157</v>
      </c>
      <c r="AU71" s="78">
        <f t="shared" si="8"/>
        <v>104</v>
      </c>
      <c r="AV71" s="455">
        <f t="shared" si="20"/>
        <v>7428</v>
      </c>
      <c r="AW71" s="88">
        <f t="shared" si="9"/>
        <v>72.642178046672427</v>
      </c>
      <c r="AX71" s="89">
        <f t="shared" si="21"/>
        <v>71.42307692307692</v>
      </c>
      <c r="AY71" s="89">
        <f t="shared" si="48"/>
        <v>70.676012461059187</v>
      </c>
      <c r="AZ71" s="76">
        <f t="shared" ref="AZ71" si="104">AS71</f>
        <v>84047</v>
      </c>
      <c r="BA71" s="77">
        <f t="shared" ref="BA71" si="105">AT71</f>
        <v>1157</v>
      </c>
      <c r="BB71" s="76">
        <f t="shared" ref="BB71" si="106">AS71</f>
        <v>84047</v>
      </c>
      <c r="BC71" s="77">
        <f t="shared" ref="BC71" si="107">AT71</f>
        <v>1157</v>
      </c>
      <c r="BD71" s="71">
        <f>BD70+(BD$73-$BD$66)*Vergleich!AG98</f>
        <v>75905.314595579097</v>
      </c>
      <c r="BE71" s="74">
        <f t="shared" si="22"/>
        <v>8141.6854044209031</v>
      </c>
      <c r="BF71" s="79">
        <f>ROUND(BF70+(BF$73-$BF$66)*Vergleich!AH98,)</f>
        <v>1030</v>
      </c>
      <c r="BG71" s="57">
        <f t="shared" si="12"/>
        <v>127</v>
      </c>
      <c r="BH71" s="71">
        <f>BH70+(BH$73-$BH$66)*Vergleich!L98</f>
        <v>101247.08425163361</v>
      </c>
      <c r="BI71" s="74">
        <f t="shared" si="13"/>
        <v>-17200.084251633612</v>
      </c>
      <c r="BJ71" s="79">
        <f>ROUND(BJ70+(BJ$73-$BJ$66)*Vergleich!M98,)</f>
        <v>1421</v>
      </c>
      <c r="BK71" s="57">
        <f t="shared" si="14"/>
        <v>-264</v>
      </c>
      <c r="BL71" s="90">
        <f t="shared" si="15"/>
        <v>7428</v>
      </c>
      <c r="BM71" s="90">
        <f t="shared" si="16"/>
        <v>4002.2380952380954</v>
      </c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</row>
    <row r="72" spans="1:84" s="92" customFormat="1" ht="15.75" thickBot="1" x14ac:dyDescent="0.35">
      <c r="A72" s="120"/>
      <c r="B72" s="121"/>
      <c r="C72" s="200"/>
      <c r="D72" s="121"/>
      <c r="E72" s="200"/>
      <c r="F72" s="200"/>
      <c r="G72" s="126"/>
      <c r="H72" s="149"/>
      <c r="I72" s="290"/>
      <c r="J72" s="141"/>
      <c r="K72" s="289"/>
      <c r="L72" s="302"/>
      <c r="M72" s="303"/>
      <c r="N72" s="523"/>
      <c r="O72" s="466"/>
      <c r="P72" s="307"/>
      <c r="Q72" s="345"/>
      <c r="R72" s="469"/>
      <c r="S72" s="307"/>
      <c r="T72" s="469"/>
      <c r="U72" s="81"/>
      <c r="V72" s="81"/>
      <c r="W72" s="307"/>
      <c r="X72" s="466"/>
      <c r="Y72" s="345"/>
      <c r="AA72" s="345"/>
      <c r="AC72" s="308"/>
      <c r="AI72" s="466"/>
      <c r="AJ72" s="469"/>
      <c r="AK72" s="331"/>
      <c r="AL72" s="82"/>
      <c r="AM72" s="83"/>
      <c r="AN72" s="84"/>
      <c r="AO72" s="85"/>
      <c r="AP72" s="86"/>
      <c r="AQ72" s="87"/>
      <c r="AR72" s="87"/>
      <c r="AS72" s="90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0"/>
      <c r="BE72" s="74"/>
      <c r="BF72" s="91"/>
      <c r="BG72" s="57"/>
      <c r="BH72" s="90"/>
      <c r="BI72" s="74"/>
      <c r="BJ72" s="91"/>
      <c r="BK72" s="57"/>
      <c r="BL72" s="90"/>
      <c r="BM72" s="90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</row>
    <row r="73" spans="1:84" s="92" customFormat="1" ht="15.75" thickBot="1" x14ac:dyDescent="0.35">
      <c r="A73" s="120"/>
      <c r="B73" s="121"/>
      <c r="C73" s="200"/>
      <c r="D73" s="121"/>
      <c r="E73" s="200"/>
      <c r="F73" s="200"/>
      <c r="G73" s="126"/>
      <c r="H73" s="149"/>
      <c r="I73" s="290"/>
      <c r="J73" s="141"/>
      <c r="K73" s="289"/>
      <c r="L73" s="302"/>
      <c r="M73" s="303"/>
      <c r="N73" s="523"/>
      <c r="O73" s="466"/>
      <c r="P73" s="307"/>
      <c r="Q73" s="345"/>
      <c r="R73" s="469"/>
      <c r="S73" s="307"/>
      <c r="T73" s="469"/>
      <c r="U73" s="81"/>
      <c r="V73" s="81"/>
      <c r="W73" s="307"/>
      <c r="X73" s="466"/>
      <c r="Y73" s="466"/>
      <c r="AA73" s="345"/>
      <c r="AC73" s="469"/>
      <c r="AI73" s="466"/>
      <c r="AJ73" s="469"/>
      <c r="AK73" s="331"/>
      <c r="AL73" s="82"/>
      <c r="AM73" s="83"/>
      <c r="AN73" s="84"/>
      <c r="AO73" s="85"/>
      <c r="AP73" s="86"/>
      <c r="AQ73" s="87"/>
      <c r="AR73" s="87"/>
      <c r="AS73" s="90"/>
      <c r="AT73" s="99"/>
      <c r="AU73" s="99"/>
      <c r="AV73" s="99"/>
      <c r="AW73" s="99"/>
      <c r="AX73" s="99"/>
      <c r="AY73" s="99"/>
      <c r="AZ73" s="99"/>
      <c r="BA73" s="99"/>
      <c r="BB73" s="99"/>
      <c r="BC73" s="425" t="s">
        <v>326</v>
      </c>
      <c r="BD73" s="456">
        <f>Vergleich!BA20</f>
        <v>75905.314595579097</v>
      </c>
      <c r="BE73" s="456"/>
      <c r="BF73" s="458">
        <f>Vergleich!BB20</f>
        <v>1030.4474074074076</v>
      </c>
      <c r="BG73" s="457"/>
      <c r="BH73" s="459">
        <f>Vergleich!BD20</f>
        <v>101247.08425163361</v>
      </c>
      <c r="BI73" s="459"/>
      <c r="BJ73" s="526">
        <f>Vergleich!BE20</f>
        <v>1420.2606741573034</v>
      </c>
      <c r="BK73" s="527"/>
      <c r="BL73" s="90"/>
      <c r="BM73" s="90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</row>
    <row r="74" spans="1:84" s="92" customFormat="1" x14ac:dyDescent="0.3">
      <c r="A74" s="120"/>
      <c r="B74" s="121"/>
      <c r="C74" s="200"/>
      <c r="D74" s="121"/>
      <c r="E74" s="200"/>
      <c r="F74" s="200"/>
      <c r="G74" s="126"/>
      <c r="H74" s="149"/>
      <c r="I74" s="290"/>
      <c r="J74" s="141"/>
      <c r="K74" s="289"/>
      <c r="L74" s="302"/>
      <c r="M74" s="303"/>
      <c r="N74" s="523"/>
      <c r="O74" s="466"/>
      <c r="P74" s="307"/>
      <c r="Q74" s="345"/>
      <c r="R74" s="469"/>
      <c r="S74" s="307"/>
      <c r="T74" s="469"/>
      <c r="U74" s="81"/>
      <c r="V74" s="81"/>
      <c r="W74" s="307"/>
      <c r="X74" s="466"/>
      <c r="Y74" s="466"/>
      <c r="AA74" s="345"/>
      <c r="AC74" s="469"/>
      <c r="AI74" s="466"/>
      <c r="AJ74" s="469"/>
      <c r="AK74" s="331"/>
      <c r="AL74" s="82"/>
      <c r="AM74" s="83"/>
      <c r="AN74" s="84"/>
      <c r="AO74" s="85"/>
      <c r="AP74" s="86"/>
      <c r="AQ74" s="87"/>
      <c r="AR74" s="87"/>
      <c r="AS74" s="90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609" t="s">
        <v>335</v>
      </c>
      <c r="BE74" s="609"/>
      <c r="BF74" s="609"/>
      <c r="BG74" s="609"/>
      <c r="BH74" s="609" t="s">
        <v>336</v>
      </c>
      <c r="BI74" s="609"/>
      <c r="BJ74" s="609"/>
      <c r="BK74" s="609"/>
      <c r="BL74" s="90"/>
      <c r="BM74" s="90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</row>
    <row r="75" spans="1:84" s="92" customFormat="1" x14ac:dyDescent="0.3">
      <c r="A75" s="120"/>
      <c r="B75" s="121"/>
      <c r="C75" s="200"/>
      <c r="D75" s="121"/>
      <c r="E75" s="200"/>
      <c r="F75" s="200"/>
      <c r="G75" s="126"/>
      <c r="H75" s="149"/>
      <c r="I75" s="290"/>
      <c r="J75" s="141"/>
      <c r="K75" s="289"/>
      <c r="L75" s="302"/>
      <c r="M75" s="303"/>
      <c r="N75" s="523"/>
      <c r="O75" s="466"/>
      <c r="P75" s="307"/>
      <c r="Q75" s="345"/>
      <c r="R75" s="469"/>
      <c r="S75" s="307"/>
      <c r="T75" s="469"/>
      <c r="U75" s="81"/>
      <c r="V75" s="81"/>
      <c r="W75" s="307"/>
      <c r="X75" s="466"/>
      <c r="Y75" s="466"/>
      <c r="AA75" s="345"/>
      <c r="AC75" s="469"/>
      <c r="AI75" s="466"/>
      <c r="AJ75" s="469"/>
      <c r="AK75" s="331"/>
      <c r="AL75" s="82"/>
      <c r="AM75" s="83"/>
      <c r="AN75" s="84"/>
      <c r="AO75" s="85"/>
      <c r="AP75" s="86"/>
      <c r="AQ75" s="87"/>
      <c r="AR75" s="87"/>
      <c r="AS75" s="90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0"/>
      <c r="BE75" s="74"/>
      <c r="BF75" s="91"/>
      <c r="BG75" s="57"/>
      <c r="BH75" s="90"/>
      <c r="BI75" s="74"/>
      <c r="BJ75" s="91"/>
      <c r="BK75" s="57"/>
      <c r="BL75" s="90"/>
      <c r="BM75" s="90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</row>
    <row r="76" spans="1:84" s="92" customFormat="1" x14ac:dyDescent="0.3">
      <c r="A76" s="120"/>
      <c r="B76" s="121"/>
      <c r="C76" s="200"/>
      <c r="D76" s="121"/>
      <c r="E76" s="200"/>
      <c r="F76" s="200"/>
      <c r="G76" s="126"/>
      <c r="H76" s="149"/>
      <c r="I76" s="290"/>
      <c r="J76" s="141"/>
      <c r="K76" s="289"/>
      <c r="L76" s="302"/>
      <c r="M76" s="303"/>
      <c r="N76" s="523"/>
      <c r="O76" s="466"/>
      <c r="P76" s="307"/>
      <c r="Q76" s="345"/>
      <c r="R76" s="469"/>
      <c r="S76" s="307"/>
      <c r="T76" s="469"/>
      <c r="U76" s="81"/>
      <c r="V76" s="81"/>
      <c r="W76" s="307"/>
      <c r="X76" s="466"/>
      <c r="Y76" s="466"/>
      <c r="AA76" s="345"/>
      <c r="AC76" s="469"/>
      <c r="AI76" s="466"/>
      <c r="AJ76" s="469"/>
      <c r="AK76" s="331"/>
      <c r="AL76" s="82"/>
      <c r="AM76" s="83"/>
      <c r="AN76" s="84"/>
      <c r="AO76" s="85"/>
      <c r="AP76" s="86"/>
      <c r="AQ76" s="87"/>
      <c r="AR76" s="87"/>
      <c r="AS76" s="90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0"/>
      <c r="BE76" s="74"/>
      <c r="BF76" s="91"/>
      <c r="BG76" s="57"/>
      <c r="BH76" s="90"/>
      <c r="BI76" s="74"/>
      <c r="BJ76" s="91"/>
      <c r="BK76" s="57"/>
      <c r="BL76" s="90"/>
      <c r="BM76" s="90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</row>
    <row r="77" spans="1:84" s="92" customFormat="1" x14ac:dyDescent="0.3">
      <c r="A77" s="121"/>
      <c r="B77" s="142"/>
      <c r="C77" s="200"/>
      <c r="D77" s="121"/>
      <c r="E77" s="200"/>
      <c r="F77" s="200"/>
      <c r="G77" s="128"/>
      <c r="H77" s="128"/>
      <c r="I77" s="475" t="s">
        <v>15</v>
      </c>
      <c r="J77" s="284"/>
      <c r="K77" s="285"/>
      <c r="L77" s="284" t="s">
        <v>119</v>
      </c>
      <c r="M77" s="285" t="s">
        <v>120</v>
      </c>
      <c r="N77" s="514" t="s">
        <v>15</v>
      </c>
      <c r="O77" s="515" t="s">
        <v>15</v>
      </c>
      <c r="P77" s="478" t="s">
        <v>15</v>
      </c>
      <c r="Q77" s="518" t="s">
        <v>15</v>
      </c>
      <c r="R77" s="479" t="s">
        <v>15</v>
      </c>
      <c r="S77" s="488" t="s">
        <v>15</v>
      </c>
      <c r="T77" s="519" t="s">
        <v>15</v>
      </c>
      <c r="U77" s="93"/>
      <c r="V77" s="93"/>
      <c r="W77" s="346" t="s">
        <v>15</v>
      </c>
      <c r="X77" s="460" t="s">
        <v>15</v>
      </c>
      <c r="Y77" s="462" t="s">
        <v>15</v>
      </c>
      <c r="AA77" s="461" t="s">
        <v>15</v>
      </c>
      <c r="AC77" s="470" t="s">
        <v>15</v>
      </c>
      <c r="AI77" s="480" t="s">
        <v>15</v>
      </c>
      <c r="AJ77" s="479" t="s">
        <v>15</v>
      </c>
      <c r="AK77" s="353"/>
      <c r="AL77" s="93"/>
      <c r="AM77" s="93"/>
      <c r="AN77" s="93"/>
      <c r="AO77" s="93"/>
      <c r="AP77" s="93"/>
      <c r="AQ77" s="81"/>
      <c r="AR77" s="93"/>
      <c r="AS77" s="93"/>
      <c r="AT77" s="94"/>
      <c r="AU77" s="110">
        <f>SUM(AU50:AU71)</f>
        <v>1157</v>
      </c>
      <c r="AV77" s="95">
        <f>SUM(AV50:AV71)</f>
        <v>84047</v>
      </c>
      <c r="AW77" s="94"/>
      <c r="AX77" s="96">
        <f t="shared" si="21"/>
        <v>72.642178046672427</v>
      </c>
      <c r="AY77" s="96"/>
      <c r="AZ77" s="90"/>
      <c r="BA77" s="91"/>
      <c r="BB77" s="90"/>
      <c r="BC77" s="91"/>
      <c r="BD77" s="94" t="s">
        <v>76</v>
      </c>
      <c r="BE77" s="57"/>
      <c r="BF77" s="97" t="s">
        <v>76</v>
      </c>
      <c r="BG77" s="57"/>
      <c r="BH77" s="94" t="s">
        <v>77</v>
      </c>
      <c r="BI77" s="36"/>
      <c r="BJ77" s="97" t="s">
        <v>77</v>
      </c>
      <c r="BK77" s="57"/>
      <c r="BL77" s="94"/>
      <c r="BM77" s="26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</row>
    <row r="78" spans="1:84" s="92" customFormat="1" ht="30" x14ac:dyDescent="0.3">
      <c r="A78" s="121"/>
      <c r="B78" s="142"/>
      <c r="C78" s="200"/>
      <c r="D78" s="121"/>
      <c r="E78" s="200"/>
      <c r="F78" s="200"/>
      <c r="G78" s="267" t="s">
        <v>31</v>
      </c>
      <c r="H78" s="267" t="s">
        <v>14</v>
      </c>
      <c r="I78" s="475" t="str">
        <f>I49</f>
        <v>Stand Ist</v>
      </c>
      <c r="J78" s="284"/>
      <c r="K78" s="285"/>
      <c r="L78" s="298" t="str">
        <f>L49</f>
        <v>1. Schätzung</v>
      </c>
      <c r="M78" s="285" t="str">
        <f>M49</f>
        <v>1. Schätzung</v>
      </c>
      <c r="N78" s="514" t="s">
        <v>188</v>
      </c>
      <c r="O78" s="515" t="s">
        <v>190</v>
      </c>
      <c r="P78" s="478" t="str">
        <f>P49</f>
        <v>DSK Fasar</v>
      </c>
      <c r="Q78" s="518" t="str">
        <f>Q49</f>
        <v>Schleichender Verfall</v>
      </c>
      <c r="R78" s="479" t="str">
        <f>R49</f>
        <v>DSK Refurbished</v>
      </c>
      <c r="S78" s="488" t="str">
        <f>S49</f>
        <v>AVENTURIA
Nedime</v>
      </c>
      <c r="T78" s="519" t="str">
        <f>T49</f>
        <v>AVENTURIA
Mythen&amp;Leg.</v>
      </c>
      <c r="U78" s="93"/>
      <c r="V78" s="93"/>
      <c r="W78" s="346" t="s">
        <v>187</v>
      </c>
      <c r="X78" s="460" t="s">
        <v>189</v>
      </c>
      <c r="Y78" s="462" t="s">
        <v>191</v>
      </c>
      <c r="AA78" s="461" t="s">
        <v>98</v>
      </c>
      <c r="AC78" s="470" t="s">
        <v>337</v>
      </c>
      <c r="AI78" s="480">
        <f t="shared" ref="AI78:AJ78" si="108">AI49</f>
        <v>0</v>
      </c>
      <c r="AJ78" s="479">
        <f t="shared" si="108"/>
        <v>0</v>
      </c>
      <c r="AK78" s="353"/>
      <c r="AL78" s="93"/>
      <c r="AM78" s="93"/>
      <c r="AN78" s="93"/>
      <c r="AO78" s="93"/>
      <c r="AP78" s="93"/>
      <c r="AQ78" s="81"/>
      <c r="AR78" s="93"/>
      <c r="AS78" s="93"/>
      <c r="AT78" s="94"/>
      <c r="AU78" s="185"/>
      <c r="AV78" s="95"/>
      <c r="AW78" s="94"/>
      <c r="AX78" s="89"/>
      <c r="AY78" s="89"/>
      <c r="AZ78" s="90"/>
      <c r="BA78" s="91"/>
      <c r="BB78" s="90"/>
      <c r="BC78" s="91"/>
      <c r="BD78" s="94"/>
      <c r="BE78" s="57"/>
      <c r="BF78" s="97"/>
      <c r="BG78" s="57"/>
      <c r="BH78" s="94"/>
      <c r="BI78" s="36"/>
      <c r="BJ78" s="97"/>
      <c r="BK78" s="57"/>
      <c r="BL78" s="94"/>
      <c r="BM78" s="26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</row>
    <row r="79" spans="1:84" s="92" customFormat="1" ht="15.75" thickBot="1" x14ac:dyDescent="0.35">
      <c r="A79" s="121"/>
      <c r="B79" s="142"/>
      <c r="C79" s="200"/>
      <c r="D79" s="121"/>
      <c r="E79" s="200"/>
      <c r="F79" s="200"/>
      <c r="G79" s="123">
        <v>0</v>
      </c>
      <c r="H79" s="148">
        <f t="shared" ref="H79:H100" si="109">H50</f>
        <v>45350.75</v>
      </c>
      <c r="I79" s="291">
        <f t="shared" ref="I79:I100" si="110">AT50</f>
        <v>0</v>
      </c>
      <c r="J79" s="127"/>
      <c r="K79" s="292"/>
      <c r="L79" s="291">
        <f>BD78</f>
        <v>0</v>
      </c>
      <c r="M79" s="304">
        <f>BH78</f>
        <v>0</v>
      </c>
      <c r="N79" s="291">
        <v>0</v>
      </c>
      <c r="O79" s="158">
        <v>0</v>
      </c>
      <c r="P79" s="291">
        <v>0</v>
      </c>
      <c r="Q79" s="158">
        <v>0</v>
      </c>
      <c r="R79" s="304">
        <v>0</v>
      </c>
      <c r="S79" s="291">
        <v>0</v>
      </c>
      <c r="T79" s="304">
        <v>0</v>
      </c>
      <c r="U79" s="93"/>
      <c r="V79" s="93"/>
      <c r="W79" s="291">
        <v>0</v>
      </c>
      <c r="X79" s="158">
        <v>0</v>
      </c>
      <c r="Y79" s="158">
        <v>0</v>
      </c>
      <c r="AA79" s="158">
        <v>0</v>
      </c>
      <c r="AC79" s="304">
        <v>0</v>
      </c>
      <c r="AI79" s="158"/>
      <c r="AJ79" s="304"/>
      <c r="AK79" s="332"/>
      <c r="AL79" s="93"/>
      <c r="AM79" s="93"/>
      <c r="AN79" s="93"/>
      <c r="AO79" s="93"/>
      <c r="AP79" s="93"/>
      <c r="AQ79" s="81"/>
      <c r="AR79" s="93"/>
      <c r="AS79" s="93"/>
      <c r="AT79" s="94"/>
      <c r="AU79" s="185"/>
      <c r="AV79" s="95"/>
      <c r="AW79" s="94"/>
      <c r="AX79" s="89"/>
      <c r="AY79" s="89"/>
      <c r="AZ79" s="90"/>
      <c r="BA79" s="91"/>
      <c r="BB79" s="90"/>
      <c r="BC79" s="91"/>
      <c r="BD79" s="94"/>
      <c r="BE79" s="57"/>
      <c r="BF79" s="97"/>
      <c r="BG79" s="57"/>
      <c r="BH79" s="94"/>
      <c r="BI79" s="36"/>
      <c r="BJ79" s="97"/>
      <c r="BK79" s="57"/>
      <c r="BL79" s="94"/>
      <c r="BM79" s="26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</row>
    <row r="80" spans="1:84" s="92" customFormat="1" x14ac:dyDescent="0.3">
      <c r="A80" s="121"/>
      <c r="B80" s="142"/>
      <c r="C80" s="200"/>
      <c r="D80" s="121"/>
      <c r="E80" s="200"/>
      <c r="F80" s="200"/>
      <c r="G80" s="123">
        <v>1</v>
      </c>
      <c r="H80" s="148">
        <f t="shared" si="109"/>
        <v>45351.75</v>
      </c>
      <c r="I80" s="291">
        <f t="shared" si="110"/>
        <v>347</v>
      </c>
      <c r="J80" s="293"/>
      <c r="K80" s="294"/>
      <c r="L80" s="291">
        <f t="shared" ref="L80:L100" si="111">BF51</f>
        <v>347</v>
      </c>
      <c r="M80" s="304">
        <f t="shared" ref="M80:M100" si="112">BJ51</f>
        <v>347</v>
      </c>
      <c r="N80" s="291">
        <v>179</v>
      </c>
      <c r="O80" s="158">
        <v>317</v>
      </c>
      <c r="P80" s="291">
        <v>195</v>
      </c>
      <c r="Q80" s="158">
        <v>136</v>
      </c>
      <c r="R80" s="304">
        <v>67</v>
      </c>
      <c r="S80" s="291">
        <v>73</v>
      </c>
      <c r="T80" s="304">
        <v>115</v>
      </c>
      <c r="U80" s="93"/>
      <c r="V80" s="93"/>
      <c r="W80" s="291">
        <v>500</v>
      </c>
      <c r="X80" s="158">
        <v>625</v>
      </c>
      <c r="Y80" s="158">
        <v>489</v>
      </c>
      <c r="AA80" s="158">
        <v>341</v>
      </c>
      <c r="AC80" s="304">
        <v>180</v>
      </c>
      <c r="AI80" s="158"/>
      <c r="AJ80" s="304"/>
      <c r="AK80" s="332"/>
      <c r="AL80" s="93"/>
      <c r="AM80" s="93"/>
      <c r="AN80" s="93"/>
      <c r="AO80" s="93"/>
      <c r="AP80" s="93"/>
      <c r="AQ80" s="81"/>
      <c r="AR80" s="95"/>
      <c r="AS80" s="105" t="s">
        <v>74</v>
      </c>
      <c r="AT80" s="26"/>
      <c r="AU80" s="26"/>
      <c r="AV80" s="26"/>
      <c r="AW80" s="26"/>
      <c r="AX80" s="26"/>
      <c r="AY80" s="89"/>
      <c r="AZ80" s="90"/>
      <c r="BA80" s="91"/>
      <c r="BB80" s="90"/>
      <c r="BC80" s="309" t="s">
        <v>74</v>
      </c>
      <c r="BD80" s="214">
        <f>BD51*Vergleich!BO5</f>
        <v>69164.08224215747</v>
      </c>
      <c r="BE80" s="310"/>
      <c r="BF80" s="311">
        <f>ROUND(AT51*Vergleich!BP5,)</f>
        <v>924</v>
      </c>
      <c r="BG80" s="312"/>
      <c r="BH80" s="214">
        <f>BH51*Vergleich!BQ5</f>
        <v>163393.40438428122</v>
      </c>
      <c r="BI80" s="214"/>
      <c r="BJ80" s="313">
        <f>ROUND(AT51*Vergleich!BR5,)</f>
        <v>2190</v>
      </c>
      <c r="BK80" s="57"/>
      <c r="BL80" s="94"/>
      <c r="BM80" s="26">
        <v>1</v>
      </c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</row>
    <row r="81" spans="1:84" s="92" customFormat="1" x14ac:dyDescent="0.3">
      <c r="A81" s="121"/>
      <c r="B81" s="142"/>
      <c r="C81" s="200"/>
      <c r="D81" s="121"/>
      <c r="E81" s="200"/>
      <c r="F81" s="200"/>
      <c r="G81" s="123">
        <v>2</v>
      </c>
      <c r="H81" s="148">
        <f t="shared" si="109"/>
        <v>45352.75</v>
      </c>
      <c r="I81" s="291">
        <f t="shared" si="110"/>
        <v>483</v>
      </c>
      <c r="J81" s="293"/>
      <c r="K81" s="294"/>
      <c r="L81" s="291">
        <f t="shared" si="111"/>
        <v>483</v>
      </c>
      <c r="M81" s="304">
        <f t="shared" si="112"/>
        <v>483</v>
      </c>
      <c r="N81" s="291">
        <v>206</v>
      </c>
      <c r="O81" s="158">
        <v>417</v>
      </c>
      <c r="P81" s="291">
        <v>233</v>
      </c>
      <c r="Q81" s="158">
        <v>172</v>
      </c>
      <c r="R81" s="304">
        <v>89</v>
      </c>
      <c r="S81" s="291">
        <v>82</v>
      </c>
      <c r="T81" s="304">
        <v>145</v>
      </c>
      <c r="U81" s="93"/>
      <c r="V81" s="93"/>
      <c r="W81" s="291"/>
      <c r="X81" s="158">
        <v>789</v>
      </c>
      <c r="Y81" s="158">
        <v>618</v>
      </c>
      <c r="AA81" s="158">
        <v>404</v>
      </c>
      <c r="AC81" s="304">
        <v>256</v>
      </c>
      <c r="AI81" s="158"/>
      <c r="AJ81" s="304"/>
      <c r="AK81" s="332"/>
      <c r="AL81" s="93"/>
      <c r="AM81" s="93"/>
      <c r="AN81" s="93"/>
      <c r="AO81" s="93"/>
      <c r="AP81" s="93"/>
      <c r="AQ81" s="81"/>
      <c r="AR81" s="26"/>
      <c r="AS81" s="26" t="s">
        <v>75</v>
      </c>
      <c r="AT81" s="26"/>
      <c r="AU81" s="26"/>
      <c r="AV81" s="26"/>
      <c r="AW81" s="26"/>
      <c r="AX81" s="26"/>
      <c r="AY81" s="89"/>
      <c r="AZ81" s="90"/>
      <c r="BA81" s="91"/>
      <c r="BB81" s="90"/>
      <c r="BC81" s="321" t="s">
        <v>75</v>
      </c>
      <c r="BD81" s="90">
        <f>BD52*Vergleich!BO6</f>
        <v>74892.045156706401</v>
      </c>
      <c r="BE81" s="319"/>
      <c r="BF81" s="320">
        <f>ROUND(AT52*Vergleich!BP6,)</f>
        <v>1019</v>
      </c>
      <c r="BG81" s="93"/>
      <c r="BH81" s="90">
        <f>BH52*Vergleich!BQ6</f>
        <v>160007.7113424303</v>
      </c>
      <c r="BI81" s="90"/>
      <c r="BJ81" s="322">
        <f>ROUND(AT52*Vergleich!BR6,)</f>
        <v>2143</v>
      </c>
      <c r="BK81" s="57"/>
      <c r="BL81" s="94"/>
      <c r="BM81" s="26">
        <v>2</v>
      </c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</row>
    <row r="82" spans="1:84" s="75" customFormat="1" x14ac:dyDescent="0.3">
      <c r="A82" s="127"/>
      <c r="B82" s="264"/>
      <c r="C82" s="199"/>
      <c r="D82" s="127"/>
      <c r="E82" s="199"/>
      <c r="F82" s="199"/>
      <c r="G82" s="123">
        <v>3</v>
      </c>
      <c r="H82" s="148">
        <f t="shared" si="109"/>
        <v>45353.75</v>
      </c>
      <c r="I82" s="291">
        <f t="shared" si="110"/>
        <v>536</v>
      </c>
      <c r="J82" s="293"/>
      <c r="K82" s="294"/>
      <c r="L82" s="291">
        <f t="shared" si="111"/>
        <v>536</v>
      </c>
      <c r="M82" s="304">
        <f t="shared" si="112"/>
        <v>536</v>
      </c>
      <c r="N82" s="291">
        <v>224</v>
      </c>
      <c r="O82" s="158">
        <v>458</v>
      </c>
      <c r="P82" s="291">
        <v>248</v>
      </c>
      <c r="Q82" s="158">
        <v>199</v>
      </c>
      <c r="R82" s="304">
        <v>101</v>
      </c>
      <c r="S82" s="291">
        <v>90</v>
      </c>
      <c r="T82" s="304">
        <v>162</v>
      </c>
      <c r="U82" s="155"/>
      <c r="V82" s="155"/>
      <c r="W82" s="291"/>
      <c r="X82" s="158">
        <v>852</v>
      </c>
      <c r="Y82" s="158">
        <v>731</v>
      </c>
      <c r="AA82" s="158">
        <v>480</v>
      </c>
      <c r="AC82" s="304">
        <v>301</v>
      </c>
      <c r="AI82" s="158"/>
      <c r="AJ82" s="304"/>
      <c r="AK82" s="332"/>
      <c r="AL82" s="93"/>
      <c r="AM82" s="93"/>
      <c r="AN82" s="93"/>
      <c r="AO82" s="93"/>
      <c r="AP82" s="93"/>
      <c r="AQ82" s="48"/>
      <c r="AR82" s="155"/>
      <c r="AS82" s="155" t="s">
        <v>82</v>
      </c>
      <c r="AT82" s="155"/>
      <c r="AU82" s="155"/>
      <c r="AV82" s="155"/>
      <c r="AW82" s="156"/>
      <c r="AX82" s="155"/>
      <c r="AY82" s="73"/>
      <c r="AZ82" s="71"/>
      <c r="BA82" s="79"/>
      <c r="BB82" s="71"/>
      <c r="BC82" s="321" t="s">
        <v>82</v>
      </c>
      <c r="BD82" s="90">
        <f>BD53*Vergleich!BO14</f>
        <v>57634.032237704821</v>
      </c>
      <c r="BE82" s="319"/>
      <c r="BF82" s="320">
        <f>ROUND(AT53*Vergleich!BP14,)</f>
        <v>782</v>
      </c>
      <c r="BG82" s="93"/>
      <c r="BH82" s="90">
        <f>BH53*Vergleich!BO15</f>
        <v>56521.908939034285</v>
      </c>
      <c r="BI82" s="90"/>
      <c r="BJ82" s="322">
        <f>ROUND(AT53*Vergleich!BP15,)</f>
        <v>767</v>
      </c>
      <c r="BK82" s="50"/>
      <c r="BL82" s="233"/>
      <c r="BM82" s="155">
        <v>3</v>
      </c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</row>
    <row r="83" spans="1:84" s="75" customFormat="1" ht="15.75" thickBot="1" x14ac:dyDescent="0.35">
      <c r="A83" s="127"/>
      <c r="B83" s="264"/>
      <c r="C83" s="199"/>
      <c r="D83" s="127"/>
      <c r="E83" s="199"/>
      <c r="F83" s="199"/>
      <c r="G83" s="123">
        <v>4</v>
      </c>
      <c r="H83" s="148">
        <f t="shared" si="109"/>
        <v>45354.75</v>
      </c>
      <c r="I83" s="291">
        <f t="shared" si="110"/>
        <v>585</v>
      </c>
      <c r="J83" s="293"/>
      <c r="K83" s="294"/>
      <c r="L83" s="291">
        <f t="shared" si="111"/>
        <v>585</v>
      </c>
      <c r="M83" s="304">
        <f t="shared" si="112"/>
        <v>585</v>
      </c>
      <c r="N83" s="291">
        <v>247</v>
      </c>
      <c r="O83" s="158">
        <v>486</v>
      </c>
      <c r="P83" s="291">
        <v>264</v>
      </c>
      <c r="Q83" s="158">
        <v>218</v>
      </c>
      <c r="R83" s="304">
        <v>110</v>
      </c>
      <c r="S83" s="291">
        <v>95</v>
      </c>
      <c r="T83" s="304">
        <v>178</v>
      </c>
      <c r="U83" s="155"/>
      <c r="V83" s="155"/>
      <c r="W83" s="291"/>
      <c r="X83" s="158">
        <v>891</v>
      </c>
      <c r="Y83" s="158">
        <v>797</v>
      </c>
      <c r="AA83" s="158">
        <v>520</v>
      </c>
      <c r="AC83" s="304">
        <v>323</v>
      </c>
      <c r="AI83" s="158"/>
      <c r="AJ83" s="304"/>
      <c r="AK83" s="332"/>
      <c r="AL83" s="155"/>
      <c r="AM83" s="155"/>
      <c r="AN83" s="155"/>
      <c r="AO83" s="155"/>
      <c r="AP83" s="155"/>
      <c r="AQ83" s="48"/>
      <c r="AR83" s="155"/>
      <c r="AS83" s="155" t="s">
        <v>83</v>
      </c>
      <c r="AT83" s="77">
        <f>ROUND(AVERAGE(BF85,BJ85),)</f>
        <v>1466</v>
      </c>
      <c r="AU83" s="155"/>
      <c r="AV83" s="155"/>
      <c r="AW83" s="156"/>
      <c r="AX83" s="155"/>
      <c r="AY83" s="73"/>
      <c r="AZ83" s="71"/>
      <c r="BA83" s="79"/>
      <c r="BB83" s="71"/>
      <c r="BC83" s="314" t="s">
        <v>89</v>
      </c>
      <c r="BD83" s="232">
        <f>BD54*Vergleich!BO19</f>
        <v>54928.294083591376</v>
      </c>
      <c r="BE83" s="315"/>
      <c r="BF83" s="316">
        <f>ROUND(AT54*Vergleich!BP19,)</f>
        <v>741</v>
      </c>
      <c r="BG83" s="317"/>
      <c r="BH83" s="232">
        <f>BH54*Vergleich!BO20</f>
        <v>53509.783053232881</v>
      </c>
      <c r="BI83" s="232"/>
      <c r="BJ83" s="318">
        <f>ROUND(AT54*Vergleich!BP20,)</f>
        <v>721</v>
      </c>
      <c r="BK83" s="50"/>
      <c r="BL83" s="233"/>
      <c r="BM83" s="155">
        <v>4</v>
      </c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</row>
    <row r="84" spans="1:84" s="75" customFormat="1" ht="15.75" thickBot="1" x14ac:dyDescent="0.35">
      <c r="A84" s="127"/>
      <c r="B84" s="264"/>
      <c r="C84" s="199"/>
      <c r="D84" s="127"/>
      <c r="E84" s="199"/>
      <c r="F84" s="199"/>
      <c r="G84" s="123">
        <v>5</v>
      </c>
      <c r="H84" s="148">
        <f t="shared" si="109"/>
        <v>45355.75</v>
      </c>
      <c r="I84" s="291">
        <f t="shared" si="110"/>
        <v>611</v>
      </c>
      <c r="J84" s="293"/>
      <c r="K84" s="294"/>
      <c r="L84" s="291">
        <f t="shared" si="111"/>
        <v>611</v>
      </c>
      <c r="M84" s="304">
        <f t="shared" si="112"/>
        <v>611</v>
      </c>
      <c r="N84" s="291">
        <v>264</v>
      </c>
      <c r="O84" s="158">
        <v>497</v>
      </c>
      <c r="P84" s="291">
        <v>280</v>
      </c>
      <c r="Q84" s="158">
        <v>235</v>
      </c>
      <c r="R84" s="304">
        <v>116</v>
      </c>
      <c r="S84" s="291">
        <v>111</v>
      </c>
      <c r="T84" s="304">
        <v>191</v>
      </c>
      <c r="U84" s="155"/>
      <c r="V84" s="155"/>
      <c r="W84" s="291"/>
      <c r="X84" s="158">
        <v>918</v>
      </c>
      <c r="Y84" s="158">
        <v>847</v>
      </c>
      <c r="AA84" s="158">
        <v>564</v>
      </c>
      <c r="AC84" s="304">
        <v>351</v>
      </c>
      <c r="AI84" s="158"/>
      <c r="AJ84" s="304"/>
      <c r="AK84" s="332"/>
      <c r="AL84" s="155"/>
      <c r="AM84" s="155"/>
      <c r="AN84" s="155"/>
      <c r="AO84" s="155"/>
      <c r="AP84" s="155"/>
      <c r="AQ84" s="48"/>
      <c r="AR84" s="155"/>
      <c r="AS84" s="155"/>
      <c r="AT84" s="233"/>
      <c r="AU84" s="356"/>
      <c r="AV84" s="357"/>
      <c r="AW84" s="233"/>
      <c r="AX84" s="73"/>
      <c r="AY84" s="73"/>
      <c r="AZ84" s="71"/>
      <c r="BA84" s="79"/>
      <c r="BB84" s="71"/>
      <c r="BC84" s="358" t="s">
        <v>90</v>
      </c>
      <c r="BD84" s="359">
        <f>BD55*Vergleich!BO24</f>
        <v>48666.737809929517</v>
      </c>
      <c r="BE84" s="360"/>
      <c r="BF84" s="361">
        <f>ROUND(AT55*Vergleich!BP24,)</f>
        <v>658</v>
      </c>
      <c r="BG84" s="362"/>
      <c r="BH84" s="359">
        <f>BH55*Vergleich!BO25</f>
        <v>44966</v>
      </c>
      <c r="BI84" s="359"/>
      <c r="BJ84" s="361">
        <f>ROUND(AT55*Vergleich!BP25,)</f>
        <v>611</v>
      </c>
      <c r="BK84" s="50"/>
      <c r="BL84" s="233"/>
      <c r="BM84" s="155">
        <v>5</v>
      </c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</row>
    <row r="85" spans="1:84" s="75" customFormat="1" x14ac:dyDescent="0.3">
      <c r="A85" s="127"/>
      <c r="B85" s="264"/>
      <c r="C85" s="199"/>
      <c r="D85" s="127"/>
      <c r="E85" s="199"/>
      <c r="F85" s="199"/>
      <c r="G85" s="123">
        <v>6</v>
      </c>
      <c r="H85" s="148">
        <f t="shared" si="109"/>
        <v>45356.75</v>
      </c>
      <c r="I85" s="291">
        <f t="shared" si="110"/>
        <v>633</v>
      </c>
      <c r="J85" s="293"/>
      <c r="K85" s="294"/>
      <c r="L85" s="291">
        <f t="shared" si="111"/>
        <v>633</v>
      </c>
      <c r="M85" s="304">
        <f t="shared" si="112"/>
        <v>633</v>
      </c>
      <c r="N85" s="291">
        <v>274</v>
      </c>
      <c r="O85" s="158">
        <v>508</v>
      </c>
      <c r="P85" s="291">
        <v>294</v>
      </c>
      <c r="Q85" s="158">
        <v>241</v>
      </c>
      <c r="R85" s="304">
        <v>123</v>
      </c>
      <c r="S85" s="291">
        <v>114.99999999999999</v>
      </c>
      <c r="T85" s="304">
        <v>220</v>
      </c>
      <c r="U85" s="155"/>
      <c r="V85" s="155"/>
      <c r="W85" s="291"/>
      <c r="X85" s="158">
        <v>953</v>
      </c>
      <c r="Y85" s="158">
        <v>901</v>
      </c>
      <c r="AA85" s="158">
        <v>652</v>
      </c>
      <c r="AC85" s="304">
        <v>395</v>
      </c>
      <c r="AI85" s="158"/>
      <c r="AJ85" s="304"/>
      <c r="AK85" s="332"/>
      <c r="AL85" s="155"/>
      <c r="AM85" s="155"/>
      <c r="AN85" s="155"/>
      <c r="AO85" s="155"/>
      <c r="AP85" s="155"/>
      <c r="AQ85" s="48"/>
      <c r="AR85" s="155"/>
      <c r="AS85" s="155"/>
      <c r="AT85" s="233"/>
      <c r="AU85" s="356"/>
      <c r="AV85" s="357"/>
      <c r="AW85" s="233"/>
      <c r="AX85" s="73"/>
      <c r="AY85" s="73"/>
      <c r="AZ85" s="71"/>
      <c r="BA85" s="79"/>
      <c r="BB85" s="71"/>
      <c r="BC85" s="363" t="s">
        <v>186</v>
      </c>
      <c r="BD85" s="357">
        <f>MIN(BD80:BD83)</f>
        <v>54928.294083591376</v>
      </c>
      <c r="BE85" s="364"/>
      <c r="BF85" s="356">
        <f>MIN(BF80:BF83)</f>
        <v>741</v>
      </c>
      <c r="BG85" s="155"/>
      <c r="BH85" s="357">
        <f>MAX(BH80:BH83)</f>
        <v>163393.40438428122</v>
      </c>
      <c r="BI85" s="71"/>
      <c r="BJ85" s="356">
        <f>MAX(BJ80:BJ83)</f>
        <v>2190</v>
      </c>
      <c r="BK85" s="50"/>
      <c r="BL85" s="233"/>
      <c r="BM85" s="155">
        <v>6</v>
      </c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</row>
    <row r="86" spans="1:84" s="75" customFormat="1" x14ac:dyDescent="0.3">
      <c r="A86" s="127"/>
      <c r="B86" s="264"/>
      <c r="C86" s="199"/>
      <c r="D86" s="127"/>
      <c r="E86" s="199"/>
      <c r="F86" s="199"/>
      <c r="G86" s="123">
        <v>7</v>
      </c>
      <c r="H86" s="148">
        <f t="shared" si="109"/>
        <v>45357.75</v>
      </c>
      <c r="I86" s="291">
        <f t="shared" si="110"/>
        <v>661</v>
      </c>
      <c r="J86" s="293"/>
      <c r="K86" s="294"/>
      <c r="L86" s="291">
        <f t="shared" si="111"/>
        <v>661</v>
      </c>
      <c r="M86" s="304">
        <f t="shared" si="112"/>
        <v>661</v>
      </c>
      <c r="N86" s="291">
        <v>295</v>
      </c>
      <c r="O86" s="158">
        <v>523</v>
      </c>
      <c r="P86" s="291">
        <v>308</v>
      </c>
      <c r="Q86" s="158">
        <v>262</v>
      </c>
      <c r="R86" s="304">
        <v>127</v>
      </c>
      <c r="S86" s="291">
        <v>124</v>
      </c>
      <c r="T86" s="304">
        <v>236</v>
      </c>
      <c r="U86" s="155"/>
      <c r="V86" s="155"/>
      <c r="W86" s="291"/>
      <c r="X86" s="158">
        <v>1044</v>
      </c>
      <c r="Y86" s="158">
        <v>953</v>
      </c>
      <c r="AA86" s="158">
        <v>709</v>
      </c>
      <c r="AC86" s="304">
        <v>435</v>
      </c>
      <c r="AI86" s="158"/>
      <c r="AJ86" s="304"/>
      <c r="AK86" s="332"/>
      <c r="AL86" s="155"/>
      <c r="AM86" s="155"/>
      <c r="AN86" s="155"/>
      <c r="AO86" s="155"/>
      <c r="AP86" s="155"/>
      <c r="AQ86" s="48"/>
      <c r="AR86" s="155"/>
      <c r="AS86" s="155"/>
      <c r="AT86" s="233"/>
      <c r="AU86" s="356"/>
      <c r="AV86" s="357"/>
      <c r="AW86" s="233"/>
      <c r="AX86" s="73"/>
      <c r="AY86" s="73"/>
      <c r="AZ86" s="71"/>
      <c r="BA86" s="79"/>
      <c r="BB86" s="71"/>
      <c r="BC86" s="79"/>
      <c r="BD86" s="71">
        <f>BD85/BF85</f>
        <v>74.12725247448229</v>
      </c>
      <c r="BE86" s="364"/>
      <c r="BF86" s="365"/>
      <c r="BG86" s="155"/>
      <c r="BH86" s="71">
        <f>BH85/BJ85</f>
        <v>74.608860449443483</v>
      </c>
      <c r="BI86" s="71"/>
      <c r="BJ86" s="365"/>
      <c r="BK86" s="50"/>
      <c r="BL86" s="233"/>
      <c r="BM86" s="155">
        <v>7</v>
      </c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</row>
    <row r="87" spans="1:84" s="75" customFormat="1" x14ac:dyDescent="0.3">
      <c r="A87" s="127"/>
      <c r="B87" s="264"/>
      <c r="C87" s="199"/>
      <c r="D87" s="127"/>
      <c r="E87" s="199"/>
      <c r="F87" s="199"/>
      <c r="G87" s="123">
        <v>8</v>
      </c>
      <c r="H87" s="148">
        <f t="shared" si="109"/>
        <v>45358.75</v>
      </c>
      <c r="I87" s="291">
        <f t="shared" si="110"/>
        <v>687</v>
      </c>
      <c r="J87" s="293"/>
      <c r="K87" s="294"/>
      <c r="L87" s="291">
        <f t="shared" si="111"/>
        <v>687</v>
      </c>
      <c r="M87" s="304">
        <f t="shared" si="112"/>
        <v>687</v>
      </c>
      <c r="N87" s="291">
        <v>308</v>
      </c>
      <c r="O87" s="158">
        <v>539</v>
      </c>
      <c r="P87" s="291">
        <v>325</v>
      </c>
      <c r="Q87" s="158">
        <v>287</v>
      </c>
      <c r="R87" s="304">
        <v>134</v>
      </c>
      <c r="S87" s="291">
        <v>136</v>
      </c>
      <c r="T87" s="304">
        <v>253</v>
      </c>
      <c r="U87" s="155"/>
      <c r="V87" s="155"/>
      <c r="W87" s="291"/>
      <c r="X87" s="158">
        <v>1084</v>
      </c>
      <c r="Y87" s="158">
        <v>994</v>
      </c>
      <c r="AA87" s="158">
        <v>792</v>
      </c>
      <c r="AC87" s="304">
        <v>476</v>
      </c>
      <c r="AI87" s="158"/>
      <c r="AJ87" s="304"/>
      <c r="AK87" s="332"/>
      <c r="AL87" s="155"/>
      <c r="AM87" s="155"/>
      <c r="AN87" s="155"/>
      <c r="AO87" s="155"/>
      <c r="AP87" s="155"/>
      <c r="AQ87" s="48"/>
      <c r="AR87" s="155"/>
      <c r="AS87" s="155"/>
      <c r="AT87" s="233"/>
      <c r="AU87" s="356"/>
      <c r="AV87" s="357"/>
      <c r="AW87" s="233"/>
      <c r="AX87" s="73"/>
      <c r="AY87" s="73"/>
      <c r="AZ87" s="71"/>
      <c r="BA87" s="79"/>
      <c r="BB87" s="71"/>
      <c r="BC87" s="79"/>
      <c r="BD87" s="233"/>
      <c r="BE87" s="50"/>
      <c r="BF87" s="375"/>
      <c r="BG87" s="50"/>
      <c r="BH87" s="233"/>
      <c r="BI87" s="156"/>
      <c r="BJ87" s="375"/>
      <c r="BK87" s="50"/>
      <c r="BL87" s="233"/>
      <c r="BM87" s="155">
        <v>8</v>
      </c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</row>
    <row r="88" spans="1:84" s="75" customFormat="1" x14ac:dyDescent="0.3">
      <c r="A88" s="127"/>
      <c r="B88" s="264"/>
      <c r="C88" s="199"/>
      <c r="D88" s="127"/>
      <c r="E88" s="199"/>
      <c r="F88" s="199"/>
      <c r="G88" s="123">
        <v>9</v>
      </c>
      <c r="H88" s="148">
        <f t="shared" si="109"/>
        <v>45359.75</v>
      </c>
      <c r="I88" s="291">
        <f t="shared" si="110"/>
        <v>705</v>
      </c>
      <c r="J88" s="293"/>
      <c r="K88" s="294"/>
      <c r="L88" s="291">
        <f t="shared" si="111"/>
        <v>705</v>
      </c>
      <c r="M88" s="304">
        <f t="shared" si="112"/>
        <v>705</v>
      </c>
      <c r="N88" s="291">
        <v>329</v>
      </c>
      <c r="O88" s="158">
        <v>551</v>
      </c>
      <c r="P88" s="291">
        <v>350</v>
      </c>
      <c r="Q88" s="158">
        <v>324</v>
      </c>
      <c r="R88" s="304">
        <v>138</v>
      </c>
      <c r="S88" s="291">
        <v>142</v>
      </c>
      <c r="T88" s="304">
        <v>267</v>
      </c>
      <c r="U88" s="155"/>
      <c r="V88" s="155"/>
      <c r="W88" s="291"/>
      <c r="X88" s="158">
        <v>1112</v>
      </c>
      <c r="Y88" s="158">
        <v>1040</v>
      </c>
      <c r="AA88" s="158">
        <v>851</v>
      </c>
      <c r="AC88" s="304">
        <v>524</v>
      </c>
      <c r="AI88" s="158"/>
      <c r="AJ88" s="304"/>
      <c r="AK88" s="332"/>
      <c r="AL88" s="155"/>
      <c r="AM88" s="155"/>
      <c r="AN88" s="155"/>
      <c r="AO88" s="155"/>
      <c r="AP88" s="155"/>
      <c r="AQ88" s="48"/>
      <c r="AR88" s="155"/>
      <c r="AS88" s="155"/>
      <c r="AT88" s="233"/>
      <c r="AU88" s="356"/>
      <c r="AV88" s="357"/>
      <c r="AW88" s="233"/>
      <c r="AX88" s="73"/>
      <c r="AY88" s="73"/>
      <c r="AZ88" s="71"/>
      <c r="BA88" s="79"/>
      <c r="BB88" s="71"/>
      <c r="BC88" s="79"/>
      <c r="BD88" s="233"/>
      <c r="BE88" s="50"/>
      <c r="BF88" s="375"/>
      <c r="BG88" s="50"/>
      <c r="BH88" s="233"/>
      <c r="BI88" s="156"/>
      <c r="BJ88" s="375"/>
      <c r="BK88" s="50"/>
      <c r="BL88" s="233"/>
      <c r="BM88" s="155">
        <v>9</v>
      </c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</row>
    <row r="89" spans="1:84" s="75" customFormat="1" x14ac:dyDescent="0.3">
      <c r="A89" s="127"/>
      <c r="B89" s="264"/>
      <c r="C89" s="199"/>
      <c r="D89" s="127"/>
      <c r="E89" s="199"/>
      <c r="F89" s="199"/>
      <c r="G89" s="123">
        <v>10</v>
      </c>
      <c r="H89" s="148">
        <f t="shared" si="109"/>
        <v>45360.75</v>
      </c>
      <c r="I89" s="291">
        <f t="shared" si="110"/>
        <v>727</v>
      </c>
      <c r="J89" s="293"/>
      <c r="K89" s="294"/>
      <c r="L89" s="291">
        <f t="shared" si="111"/>
        <v>727</v>
      </c>
      <c r="M89" s="304">
        <f t="shared" si="112"/>
        <v>727</v>
      </c>
      <c r="N89" s="291">
        <v>350</v>
      </c>
      <c r="O89" s="158">
        <v>565</v>
      </c>
      <c r="P89" s="291">
        <v>369</v>
      </c>
      <c r="Q89" s="158">
        <v>336</v>
      </c>
      <c r="R89" s="304">
        <v>143</v>
      </c>
      <c r="S89" s="291">
        <v>161</v>
      </c>
      <c r="T89" s="304">
        <v>282</v>
      </c>
      <c r="U89" s="155"/>
      <c r="V89" s="155"/>
      <c r="W89" s="291"/>
      <c r="X89" s="158">
        <v>1140</v>
      </c>
      <c r="Y89" s="158">
        <v>1073</v>
      </c>
      <c r="AA89" s="158">
        <v>893</v>
      </c>
      <c r="AC89" s="304">
        <v>564</v>
      </c>
      <c r="AI89" s="158"/>
      <c r="AJ89" s="304"/>
      <c r="AK89" s="332"/>
      <c r="AL89" s="155"/>
      <c r="AM89" s="155"/>
      <c r="AN89" s="155"/>
      <c r="AO89" s="155"/>
      <c r="AP89" s="155"/>
      <c r="AQ89" s="48"/>
      <c r="AR89" s="155"/>
      <c r="AS89" s="155"/>
      <c r="AT89" s="233"/>
      <c r="AU89" s="356"/>
      <c r="AV89" s="357"/>
      <c r="AW89" s="233"/>
      <c r="AX89" s="73"/>
      <c r="AY89" s="73"/>
      <c r="AZ89" s="71"/>
      <c r="BA89" s="79"/>
      <c r="BB89" s="71"/>
      <c r="BC89" s="79"/>
      <c r="BD89" s="233"/>
      <c r="BE89" s="50"/>
      <c r="BF89" s="375"/>
      <c r="BG89" s="50"/>
      <c r="BH89" s="233"/>
      <c r="BI89" s="156"/>
      <c r="BJ89" s="375"/>
      <c r="BK89" s="50"/>
      <c r="BL89" s="233"/>
      <c r="BM89" s="155">
        <v>10</v>
      </c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</row>
    <row r="90" spans="1:84" s="75" customFormat="1" x14ac:dyDescent="0.3">
      <c r="A90" s="127"/>
      <c r="B90" s="264"/>
      <c r="C90" s="199"/>
      <c r="D90" s="127"/>
      <c r="E90" s="199"/>
      <c r="F90" s="199"/>
      <c r="G90" s="123">
        <v>11</v>
      </c>
      <c r="H90" s="148">
        <f t="shared" si="109"/>
        <v>45361.75</v>
      </c>
      <c r="I90" s="291">
        <f t="shared" si="110"/>
        <v>753</v>
      </c>
      <c r="J90" s="293"/>
      <c r="K90" s="294"/>
      <c r="L90" s="291">
        <f t="shared" si="111"/>
        <v>753</v>
      </c>
      <c r="M90" s="304">
        <f t="shared" si="112"/>
        <v>753</v>
      </c>
      <c r="N90" s="291">
        <v>356</v>
      </c>
      <c r="O90" s="158">
        <v>582</v>
      </c>
      <c r="P90" s="291">
        <v>386</v>
      </c>
      <c r="Q90" s="158">
        <v>345</v>
      </c>
      <c r="R90" s="304">
        <v>150</v>
      </c>
      <c r="S90" s="291">
        <v>178</v>
      </c>
      <c r="T90" s="304">
        <v>291</v>
      </c>
      <c r="U90" s="155"/>
      <c r="V90" s="155"/>
      <c r="W90" s="291">
        <v>900</v>
      </c>
      <c r="X90" s="158">
        <v>1163</v>
      </c>
      <c r="Y90" s="158">
        <v>1104</v>
      </c>
      <c r="AA90" s="158">
        <v>935</v>
      </c>
      <c r="AC90" s="304">
        <v>596</v>
      </c>
      <c r="AI90" s="158"/>
      <c r="AJ90" s="304"/>
      <c r="AK90" s="332"/>
      <c r="AL90" s="155"/>
      <c r="AM90" s="155"/>
      <c r="AN90" s="155"/>
      <c r="AO90" s="155"/>
      <c r="AP90" s="155"/>
      <c r="AQ90" s="48"/>
      <c r="AR90" s="155"/>
      <c r="AS90" s="155"/>
      <c r="AT90" s="233"/>
      <c r="AU90" s="356"/>
      <c r="AV90" s="357"/>
      <c r="AW90" s="233"/>
      <c r="AX90" s="73"/>
      <c r="AY90" s="73"/>
      <c r="AZ90" s="71"/>
      <c r="BA90" s="79"/>
      <c r="BB90" s="71"/>
      <c r="BC90" s="79"/>
      <c r="BD90" s="233"/>
      <c r="BE90" s="50"/>
      <c r="BF90" s="375"/>
      <c r="BG90" s="50"/>
      <c r="BH90" s="233"/>
      <c r="BI90" s="156"/>
      <c r="BJ90" s="375"/>
      <c r="BK90" s="50"/>
      <c r="BL90" s="233"/>
      <c r="BM90" s="155">
        <v>11</v>
      </c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</row>
    <row r="91" spans="1:84" s="75" customFormat="1" x14ac:dyDescent="0.3">
      <c r="A91" s="127"/>
      <c r="B91" s="264"/>
      <c r="C91" s="199"/>
      <c r="D91" s="127"/>
      <c r="E91" s="199"/>
      <c r="F91" s="199"/>
      <c r="G91" s="123">
        <v>12</v>
      </c>
      <c r="H91" s="148">
        <f t="shared" si="109"/>
        <v>45362.75</v>
      </c>
      <c r="I91" s="291">
        <f t="shared" si="110"/>
        <v>775</v>
      </c>
      <c r="J91" s="293"/>
      <c r="K91" s="294"/>
      <c r="L91" s="291">
        <f t="shared" si="111"/>
        <v>775</v>
      </c>
      <c r="M91" s="304">
        <f t="shared" si="112"/>
        <v>775</v>
      </c>
      <c r="N91" s="291">
        <v>371</v>
      </c>
      <c r="O91" s="158">
        <v>598</v>
      </c>
      <c r="P91" s="291">
        <v>395</v>
      </c>
      <c r="Q91" s="158">
        <v>361</v>
      </c>
      <c r="R91" s="304">
        <v>154</v>
      </c>
      <c r="S91" s="291">
        <v>193</v>
      </c>
      <c r="T91" s="304">
        <v>311</v>
      </c>
      <c r="U91" s="155"/>
      <c r="V91" s="155"/>
      <c r="W91" s="291"/>
      <c r="X91" s="158">
        <v>1189</v>
      </c>
      <c r="Y91" s="158">
        <v>1137</v>
      </c>
      <c r="AA91" s="158">
        <v>976</v>
      </c>
      <c r="AC91" s="304">
        <v>624</v>
      </c>
      <c r="AI91" s="158"/>
      <c r="AJ91" s="304"/>
      <c r="AK91" s="332"/>
      <c r="AL91" s="155"/>
      <c r="AM91" s="155"/>
      <c r="AN91" s="155"/>
      <c r="AO91" s="155"/>
      <c r="AP91" s="155"/>
      <c r="AQ91" s="48"/>
      <c r="AR91" s="155"/>
      <c r="AS91" s="155"/>
      <c r="AT91" s="233"/>
      <c r="AU91" s="356"/>
      <c r="AV91" s="357"/>
      <c r="AW91" s="233"/>
      <c r="AX91" s="73"/>
      <c r="AY91" s="73"/>
      <c r="AZ91" s="71"/>
      <c r="BA91" s="79"/>
      <c r="BB91" s="71"/>
      <c r="BC91" s="79"/>
      <c r="BD91" s="233"/>
      <c r="BE91" s="50"/>
      <c r="BF91" s="375"/>
      <c r="BG91" s="50"/>
      <c r="BH91" s="233"/>
      <c r="BI91" s="156"/>
      <c r="BJ91" s="375"/>
      <c r="BK91" s="50"/>
      <c r="BL91" s="233"/>
      <c r="BM91" s="155">
        <v>12</v>
      </c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</row>
    <row r="92" spans="1:84" s="75" customFormat="1" x14ac:dyDescent="0.3">
      <c r="A92" s="127"/>
      <c r="B92" s="264"/>
      <c r="C92" s="199"/>
      <c r="D92" s="127"/>
      <c r="E92" s="199"/>
      <c r="F92" s="199"/>
      <c r="G92" s="123">
        <v>13</v>
      </c>
      <c r="H92" s="148">
        <f t="shared" si="109"/>
        <v>45363.75</v>
      </c>
      <c r="I92" s="291">
        <f t="shared" si="110"/>
        <v>789</v>
      </c>
      <c r="J92" s="293"/>
      <c r="K92" s="294"/>
      <c r="L92" s="291">
        <f t="shared" si="111"/>
        <v>789</v>
      </c>
      <c r="M92" s="304">
        <f t="shared" si="112"/>
        <v>789</v>
      </c>
      <c r="N92" s="291">
        <v>386</v>
      </c>
      <c r="O92" s="158">
        <v>624</v>
      </c>
      <c r="P92" s="291">
        <v>410</v>
      </c>
      <c r="Q92" s="158">
        <v>375</v>
      </c>
      <c r="R92" s="304">
        <v>155</v>
      </c>
      <c r="S92" s="291">
        <v>197</v>
      </c>
      <c r="T92" s="304">
        <v>319</v>
      </c>
      <c r="U92" s="155"/>
      <c r="V92" s="155"/>
      <c r="W92" s="291"/>
      <c r="X92" s="158">
        <v>1205</v>
      </c>
      <c r="Y92" s="158">
        <v>1159</v>
      </c>
      <c r="AA92" s="158">
        <v>1011</v>
      </c>
      <c r="AC92" s="304">
        <v>656</v>
      </c>
      <c r="AI92" s="158"/>
      <c r="AJ92" s="304"/>
      <c r="AK92" s="332"/>
      <c r="AL92" s="155"/>
      <c r="AM92" s="155"/>
      <c r="AN92" s="155"/>
      <c r="AO92" s="155"/>
      <c r="AP92" s="155"/>
      <c r="AQ92" s="48"/>
      <c r="AR92" s="155"/>
      <c r="AS92" s="155"/>
      <c r="AT92" s="233"/>
      <c r="AU92" s="356"/>
      <c r="AV92" s="357"/>
      <c r="AW92" s="233"/>
      <c r="AX92" s="73"/>
      <c r="AY92" s="73"/>
      <c r="AZ92" s="71"/>
      <c r="BA92" s="79"/>
      <c r="BB92" s="71"/>
      <c r="BC92" s="79"/>
      <c r="BD92" s="233"/>
      <c r="BE92" s="50"/>
      <c r="BF92" s="375"/>
      <c r="BG92" s="50"/>
      <c r="BH92" s="233"/>
      <c r="BI92" s="156"/>
      <c r="BJ92" s="375"/>
      <c r="BK92" s="50"/>
      <c r="BL92" s="233"/>
      <c r="BM92" s="155">
        <v>13</v>
      </c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</row>
    <row r="93" spans="1:84" s="75" customFormat="1" x14ac:dyDescent="0.3">
      <c r="A93" s="127"/>
      <c r="B93" s="264"/>
      <c r="C93" s="199"/>
      <c r="D93" s="127"/>
      <c r="E93" s="199"/>
      <c r="F93" s="199"/>
      <c r="G93" s="123">
        <v>14</v>
      </c>
      <c r="H93" s="148">
        <f t="shared" si="109"/>
        <v>45364.75</v>
      </c>
      <c r="I93" s="291">
        <f t="shared" si="110"/>
        <v>806</v>
      </c>
      <c r="J93" s="293"/>
      <c r="K93" s="294"/>
      <c r="L93" s="291">
        <f t="shared" si="111"/>
        <v>806</v>
      </c>
      <c r="M93" s="304">
        <f t="shared" si="112"/>
        <v>806</v>
      </c>
      <c r="N93" s="291">
        <v>403</v>
      </c>
      <c r="O93" s="158">
        <v>650</v>
      </c>
      <c r="P93" s="291">
        <v>417</v>
      </c>
      <c r="Q93" s="158">
        <v>395</v>
      </c>
      <c r="R93" s="304">
        <v>159</v>
      </c>
      <c r="S93" s="291">
        <v>205</v>
      </c>
      <c r="T93" s="304">
        <v>330</v>
      </c>
      <c r="U93" s="155"/>
      <c r="V93" s="155"/>
      <c r="W93" s="291"/>
      <c r="X93" s="158">
        <v>1232</v>
      </c>
      <c r="Y93" s="158">
        <v>1207</v>
      </c>
      <c r="AA93" s="158">
        <v>1060</v>
      </c>
      <c r="AC93" s="304">
        <v>696</v>
      </c>
      <c r="AI93" s="158"/>
      <c r="AJ93" s="304"/>
      <c r="AK93" s="332"/>
      <c r="AL93" s="155"/>
      <c r="AM93" s="155"/>
      <c r="AN93" s="155"/>
      <c r="AO93" s="155"/>
      <c r="AP93" s="155"/>
      <c r="AQ93" s="48"/>
      <c r="AR93" s="155"/>
      <c r="AS93" s="155"/>
      <c r="AT93" s="233"/>
      <c r="AU93" s="356"/>
      <c r="AV93" s="357"/>
      <c r="AW93" s="233"/>
      <c r="AX93" s="73"/>
      <c r="AY93" s="73"/>
      <c r="AZ93" s="71"/>
      <c r="BA93" s="79"/>
      <c r="BB93" s="71"/>
      <c r="BC93" s="79"/>
      <c r="BD93" s="233"/>
      <c r="BE93" s="50"/>
      <c r="BF93" s="375"/>
      <c r="BG93" s="50"/>
      <c r="BH93" s="233"/>
      <c r="BI93" s="156"/>
      <c r="BJ93" s="375"/>
      <c r="BK93" s="50"/>
      <c r="BL93" s="233"/>
      <c r="BM93" s="155">
        <v>14</v>
      </c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</row>
    <row r="94" spans="1:84" s="75" customFormat="1" x14ac:dyDescent="0.3">
      <c r="A94" s="127"/>
      <c r="B94" s="264"/>
      <c r="C94" s="199"/>
      <c r="D94" s="127"/>
      <c r="E94" s="199"/>
      <c r="F94" s="199"/>
      <c r="G94" s="123">
        <v>15</v>
      </c>
      <c r="H94" s="148">
        <f t="shared" si="109"/>
        <v>45365.75</v>
      </c>
      <c r="I94" s="291">
        <f t="shared" si="110"/>
        <v>825</v>
      </c>
      <c r="J94" s="293"/>
      <c r="K94" s="294"/>
      <c r="L94" s="291">
        <f t="shared" si="111"/>
        <v>825</v>
      </c>
      <c r="M94" s="304">
        <f t="shared" si="112"/>
        <v>825</v>
      </c>
      <c r="N94" s="291">
        <v>422</v>
      </c>
      <c r="O94" s="158">
        <v>690</v>
      </c>
      <c r="P94" s="291">
        <v>427</v>
      </c>
      <c r="Q94" s="158">
        <v>415</v>
      </c>
      <c r="R94" s="304">
        <v>164</v>
      </c>
      <c r="S94" s="291">
        <v>214</v>
      </c>
      <c r="T94" s="304">
        <v>337</v>
      </c>
      <c r="U94" s="155"/>
      <c r="V94" s="155"/>
      <c r="W94" s="291"/>
      <c r="X94" s="158">
        <v>1313</v>
      </c>
      <c r="Y94" s="158">
        <v>1257</v>
      </c>
      <c r="AA94" s="158">
        <v>1096</v>
      </c>
      <c r="AC94" s="304">
        <v>727</v>
      </c>
      <c r="AI94" s="158"/>
      <c r="AJ94" s="304"/>
      <c r="AK94" s="332"/>
      <c r="AL94" s="155"/>
      <c r="AM94" s="155"/>
      <c r="AN94" s="155"/>
      <c r="AO94" s="155"/>
      <c r="AP94" s="155"/>
      <c r="AQ94" s="48"/>
      <c r="AR94" s="155"/>
      <c r="AS94" s="155"/>
      <c r="AT94" s="233"/>
      <c r="AU94" s="356"/>
      <c r="AV94" s="357"/>
      <c r="AW94" s="233"/>
      <c r="AX94" s="73"/>
      <c r="AY94" s="73"/>
      <c r="AZ94" s="71"/>
      <c r="BA94" s="79"/>
      <c r="BB94" s="71"/>
      <c r="BC94" s="79"/>
      <c r="BD94" s="233"/>
      <c r="BE94" s="50"/>
      <c r="BF94" s="375"/>
      <c r="BG94" s="50"/>
      <c r="BH94" s="233"/>
      <c r="BI94" s="156"/>
      <c r="BJ94" s="375"/>
      <c r="BK94" s="50"/>
      <c r="BL94" s="233"/>
      <c r="BM94" s="155">
        <v>15</v>
      </c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</row>
    <row r="95" spans="1:84" s="75" customFormat="1" x14ac:dyDescent="0.3">
      <c r="A95" s="127"/>
      <c r="B95" s="264"/>
      <c r="C95" s="199"/>
      <c r="D95" s="127"/>
      <c r="E95" s="199"/>
      <c r="F95" s="199"/>
      <c r="G95" s="123">
        <v>16</v>
      </c>
      <c r="H95" s="148">
        <f t="shared" si="109"/>
        <v>45366.75</v>
      </c>
      <c r="I95" s="291">
        <f t="shared" si="110"/>
        <v>836</v>
      </c>
      <c r="J95" s="293"/>
      <c r="K95" s="294"/>
      <c r="L95" s="291">
        <f t="shared" si="111"/>
        <v>836</v>
      </c>
      <c r="M95" s="304">
        <f t="shared" si="112"/>
        <v>836</v>
      </c>
      <c r="N95" s="291">
        <v>445</v>
      </c>
      <c r="O95" s="158">
        <v>729</v>
      </c>
      <c r="P95" s="291">
        <v>444</v>
      </c>
      <c r="Q95" s="158">
        <v>438</v>
      </c>
      <c r="R95" s="304">
        <v>172</v>
      </c>
      <c r="S95" s="291">
        <v>224</v>
      </c>
      <c r="T95" s="304">
        <v>349</v>
      </c>
      <c r="U95" s="155"/>
      <c r="V95" s="155"/>
      <c r="W95" s="291"/>
      <c r="X95" s="158">
        <v>1350</v>
      </c>
      <c r="Y95" s="158">
        <v>1301</v>
      </c>
      <c r="AA95" s="158">
        <v>1134</v>
      </c>
      <c r="AC95" s="304">
        <v>758</v>
      </c>
      <c r="AI95" s="158"/>
      <c r="AJ95" s="304"/>
      <c r="AK95" s="332"/>
      <c r="AL95" s="155"/>
      <c r="AM95" s="155"/>
      <c r="AN95" s="155"/>
      <c r="AO95" s="155"/>
      <c r="AP95" s="155"/>
      <c r="AQ95" s="48"/>
      <c r="AR95" s="155"/>
      <c r="AS95" s="155"/>
      <c r="AT95" s="233"/>
      <c r="AU95" s="356"/>
      <c r="AV95" s="357"/>
      <c r="AW95" s="233"/>
      <c r="AX95" s="73"/>
      <c r="AY95" s="73"/>
      <c r="AZ95" s="71"/>
      <c r="BA95" s="79"/>
      <c r="BB95" s="71"/>
      <c r="BC95" s="79"/>
      <c r="BD95" s="233"/>
      <c r="BE95" s="50"/>
      <c r="BF95" s="375"/>
      <c r="BG95" s="50"/>
      <c r="BH95" s="233"/>
      <c r="BI95" s="156"/>
      <c r="BJ95" s="375"/>
      <c r="BK95" s="50"/>
      <c r="BL95" s="233"/>
      <c r="BM95" s="155">
        <v>16</v>
      </c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</row>
    <row r="96" spans="1:84" s="75" customFormat="1" x14ac:dyDescent="0.3">
      <c r="A96" s="127"/>
      <c r="B96" s="264"/>
      <c r="C96" s="199"/>
      <c r="D96" s="127"/>
      <c r="E96" s="199"/>
      <c r="F96" s="199"/>
      <c r="G96" s="123">
        <v>17</v>
      </c>
      <c r="H96" s="148">
        <f t="shared" si="109"/>
        <v>45367.75</v>
      </c>
      <c r="I96" s="291">
        <f t="shared" si="110"/>
        <v>865</v>
      </c>
      <c r="J96" s="293"/>
      <c r="K96" s="294"/>
      <c r="L96" s="291">
        <f t="shared" si="111"/>
        <v>842</v>
      </c>
      <c r="M96" s="304">
        <f t="shared" si="112"/>
        <v>953</v>
      </c>
      <c r="N96" s="291">
        <v>471</v>
      </c>
      <c r="O96" s="158">
        <v>757</v>
      </c>
      <c r="P96" s="291">
        <v>487</v>
      </c>
      <c r="Q96" s="158">
        <v>471</v>
      </c>
      <c r="R96" s="304">
        <v>175</v>
      </c>
      <c r="S96" s="291">
        <v>233</v>
      </c>
      <c r="T96" s="304">
        <v>363</v>
      </c>
      <c r="U96" s="155"/>
      <c r="V96" s="155"/>
      <c r="W96" s="291"/>
      <c r="X96" s="158">
        <v>1384</v>
      </c>
      <c r="Y96" s="158">
        <v>1341</v>
      </c>
      <c r="AA96" s="158">
        <v>1160</v>
      </c>
      <c r="AC96" s="304">
        <v>790</v>
      </c>
      <c r="AI96" s="158"/>
      <c r="AJ96" s="304"/>
      <c r="AK96" s="332"/>
      <c r="AL96" s="155"/>
      <c r="AM96" s="155"/>
      <c r="AN96" s="155"/>
      <c r="AO96" s="155"/>
      <c r="AP96" s="155"/>
      <c r="AQ96" s="48"/>
      <c r="AR96" s="155"/>
      <c r="AS96" s="155"/>
      <c r="AT96" s="233"/>
      <c r="AU96" s="356"/>
      <c r="AV96" s="357"/>
      <c r="AW96" s="233"/>
      <c r="AX96" s="73"/>
      <c r="AY96" s="73"/>
      <c r="AZ96" s="71"/>
      <c r="BA96" s="79"/>
      <c r="BB96" s="71"/>
      <c r="BC96" s="79"/>
      <c r="BD96" s="233"/>
      <c r="BE96" s="50"/>
      <c r="BF96" s="375"/>
      <c r="BG96" s="50"/>
      <c r="BH96" s="233"/>
      <c r="BI96" s="156"/>
      <c r="BJ96" s="375"/>
      <c r="BK96" s="50"/>
      <c r="BL96" s="233"/>
      <c r="BM96" s="155">
        <v>17</v>
      </c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</row>
    <row r="97" spans="1:84" s="75" customFormat="1" x14ac:dyDescent="0.3">
      <c r="A97" s="127"/>
      <c r="B97" s="264"/>
      <c r="C97" s="199"/>
      <c r="D97" s="127"/>
      <c r="E97" s="199"/>
      <c r="F97" s="199"/>
      <c r="G97" s="123">
        <v>18</v>
      </c>
      <c r="H97" s="148">
        <f t="shared" si="109"/>
        <v>45368.75</v>
      </c>
      <c r="I97" s="291">
        <f t="shared" si="110"/>
        <v>892</v>
      </c>
      <c r="J97" s="293"/>
      <c r="K97" s="294"/>
      <c r="L97" s="291">
        <f t="shared" si="111"/>
        <v>864</v>
      </c>
      <c r="M97" s="304">
        <f t="shared" si="112"/>
        <v>1027</v>
      </c>
      <c r="N97" s="291">
        <v>501</v>
      </c>
      <c r="O97" s="158">
        <v>781</v>
      </c>
      <c r="P97" s="291">
        <v>514</v>
      </c>
      <c r="Q97" s="158">
        <v>491</v>
      </c>
      <c r="R97" s="304">
        <v>186</v>
      </c>
      <c r="S97" s="291">
        <v>250</v>
      </c>
      <c r="T97" s="304">
        <v>377</v>
      </c>
      <c r="U97" s="155"/>
      <c r="V97" s="155"/>
      <c r="W97" s="291"/>
      <c r="X97" s="158">
        <v>1419</v>
      </c>
      <c r="Y97" s="158">
        <v>1386</v>
      </c>
      <c r="AA97" s="158">
        <v>1210</v>
      </c>
      <c r="AC97" s="304">
        <v>821</v>
      </c>
      <c r="AI97" s="158"/>
      <c r="AJ97" s="304"/>
      <c r="AK97" s="332"/>
      <c r="AL97" s="155"/>
      <c r="AM97" s="155"/>
      <c r="AN97" s="155"/>
      <c r="AO97" s="155"/>
      <c r="AP97" s="155"/>
      <c r="AQ97" s="48"/>
      <c r="AR97" s="155"/>
      <c r="AS97" s="155"/>
      <c r="AT97" s="233"/>
      <c r="AU97" s="356"/>
      <c r="AV97" s="357"/>
      <c r="AW97" s="233"/>
      <c r="AX97" s="73"/>
      <c r="AY97" s="73"/>
      <c r="AZ97" s="71"/>
      <c r="BA97" s="79"/>
      <c r="BB97" s="71"/>
      <c r="BC97" s="79"/>
      <c r="BD97" s="233"/>
      <c r="BE97" s="50"/>
      <c r="BF97" s="375"/>
      <c r="BG97" s="50"/>
      <c r="BH97" s="233"/>
      <c r="BI97" s="156"/>
      <c r="BJ97" s="375"/>
      <c r="BK97" s="50"/>
      <c r="BL97" s="233"/>
      <c r="BM97" s="155">
        <v>18</v>
      </c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</row>
    <row r="98" spans="1:84" s="75" customFormat="1" x14ac:dyDescent="0.3">
      <c r="A98" s="127"/>
      <c r="B98" s="264"/>
      <c r="C98" s="199"/>
      <c r="D98" s="127"/>
      <c r="E98" s="199"/>
      <c r="F98" s="199"/>
      <c r="G98" s="123">
        <v>19</v>
      </c>
      <c r="H98" s="148">
        <f t="shared" si="109"/>
        <v>45369.75</v>
      </c>
      <c r="I98" s="291">
        <f t="shared" si="110"/>
        <v>973</v>
      </c>
      <c r="J98" s="293"/>
      <c r="K98" s="294"/>
      <c r="L98" s="291">
        <f t="shared" si="111"/>
        <v>888</v>
      </c>
      <c r="M98" s="304">
        <f t="shared" si="112"/>
        <v>1123</v>
      </c>
      <c r="N98" s="291">
        <v>537</v>
      </c>
      <c r="O98" s="158">
        <v>827</v>
      </c>
      <c r="P98" s="291">
        <v>549</v>
      </c>
      <c r="Q98" s="158">
        <v>519</v>
      </c>
      <c r="R98" s="304">
        <v>198</v>
      </c>
      <c r="S98" s="291">
        <v>267</v>
      </c>
      <c r="T98" s="304">
        <v>401</v>
      </c>
      <c r="U98" s="155"/>
      <c r="V98" s="155"/>
      <c r="W98" s="291"/>
      <c r="X98" s="158">
        <v>1483</v>
      </c>
      <c r="Y98" s="158">
        <v>1454</v>
      </c>
      <c r="AA98" s="158">
        <v>1290</v>
      </c>
      <c r="AC98" s="304">
        <v>900</v>
      </c>
      <c r="AI98" s="158"/>
      <c r="AJ98" s="304"/>
      <c r="AK98" s="332"/>
      <c r="AL98" s="155"/>
      <c r="AM98" s="155"/>
      <c r="AN98" s="155"/>
      <c r="AO98" s="155"/>
      <c r="AP98" s="155"/>
      <c r="AQ98" s="48"/>
      <c r="AR98" s="155"/>
      <c r="AS98" s="155"/>
      <c r="AT98" s="233"/>
      <c r="AU98" s="356"/>
      <c r="AV98" s="357"/>
      <c r="AW98" s="233"/>
      <c r="AX98" s="73"/>
      <c r="AY98" s="73"/>
      <c r="AZ98" s="71"/>
      <c r="BA98" s="79"/>
      <c r="BB98" s="71"/>
      <c r="BC98" s="79"/>
      <c r="BD98" s="233"/>
      <c r="BE98" s="50"/>
      <c r="BF98" s="375"/>
      <c r="BG98" s="50"/>
      <c r="BH98" s="233"/>
      <c r="BI98" s="156"/>
      <c r="BJ98" s="375"/>
      <c r="BK98" s="50"/>
      <c r="BL98" s="233"/>
      <c r="BM98" s="155">
        <v>19</v>
      </c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</row>
    <row r="99" spans="1:84" s="75" customFormat="1" x14ac:dyDescent="0.3">
      <c r="A99" s="127"/>
      <c r="B99" s="264"/>
      <c r="C99" s="199"/>
      <c r="D99" s="127"/>
      <c r="E99" s="199"/>
      <c r="F99" s="199"/>
      <c r="G99" s="123">
        <v>20</v>
      </c>
      <c r="H99" s="148">
        <f t="shared" si="109"/>
        <v>45370.75</v>
      </c>
      <c r="I99" s="291">
        <f t="shared" si="110"/>
        <v>1053</v>
      </c>
      <c r="J99" s="293"/>
      <c r="K99" s="294"/>
      <c r="L99" s="291">
        <f t="shared" si="111"/>
        <v>946</v>
      </c>
      <c r="M99" s="304">
        <f t="shared" si="112"/>
        <v>1219</v>
      </c>
      <c r="N99" s="291">
        <v>576</v>
      </c>
      <c r="O99" s="158">
        <v>863</v>
      </c>
      <c r="P99" s="291">
        <v>584</v>
      </c>
      <c r="Q99" s="158">
        <v>558</v>
      </c>
      <c r="R99" s="304">
        <v>227</v>
      </c>
      <c r="S99" s="291">
        <v>300</v>
      </c>
      <c r="T99" s="304">
        <v>440</v>
      </c>
      <c r="U99" s="155"/>
      <c r="V99" s="155"/>
      <c r="W99" s="291"/>
      <c r="X99" s="158">
        <v>1545</v>
      </c>
      <c r="Y99" s="158">
        <v>1533</v>
      </c>
      <c r="AA99" s="158">
        <v>1421</v>
      </c>
      <c r="AC99" s="304">
        <v>985</v>
      </c>
      <c r="AI99" s="158"/>
      <c r="AJ99" s="304"/>
      <c r="AK99" s="332"/>
      <c r="AL99" s="155"/>
      <c r="AM99" s="155"/>
      <c r="AN99" s="155"/>
      <c r="AO99" s="155"/>
      <c r="AP99" s="155"/>
      <c r="AQ99" s="48"/>
      <c r="AR99" s="155"/>
      <c r="AS99" s="155"/>
      <c r="AT99" s="233"/>
      <c r="AU99" s="356"/>
      <c r="AV99" s="357"/>
      <c r="AW99" s="233"/>
      <c r="AX99" s="73"/>
      <c r="AY99" s="73"/>
      <c r="AZ99" s="71"/>
      <c r="BA99" s="79"/>
      <c r="BB99" s="71"/>
      <c r="BC99" s="79"/>
      <c r="BD99" s="233"/>
      <c r="BE99" s="50"/>
      <c r="BF99" s="375"/>
      <c r="BG99" s="50"/>
      <c r="BH99" s="233"/>
      <c r="BI99" s="156"/>
      <c r="BJ99" s="375"/>
      <c r="BK99" s="50"/>
      <c r="BL99" s="233"/>
      <c r="BM99" s="155">
        <v>20</v>
      </c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</row>
    <row r="100" spans="1:84" s="2" customFormat="1" x14ac:dyDescent="0.3">
      <c r="A100" s="111"/>
      <c r="B100" s="111"/>
      <c r="C100" s="128"/>
      <c r="D100" s="111"/>
      <c r="E100" s="128"/>
      <c r="F100" s="128"/>
      <c r="G100" s="123">
        <v>21</v>
      </c>
      <c r="H100" s="148">
        <f t="shared" si="109"/>
        <v>45371.75</v>
      </c>
      <c r="I100" s="476">
        <f t="shared" si="110"/>
        <v>1157</v>
      </c>
      <c r="J100" s="295"/>
      <c r="K100" s="296"/>
      <c r="L100" s="305">
        <f t="shared" si="111"/>
        <v>1030</v>
      </c>
      <c r="M100" s="296">
        <f t="shared" si="112"/>
        <v>1421</v>
      </c>
      <c r="N100" s="524">
        <v>756</v>
      </c>
      <c r="O100" s="350">
        <v>975</v>
      </c>
      <c r="P100" s="483">
        <v>658</v>
      </c>
      <c r="Q100" s="484">
        <v>645</v>
      </c>
      <c r="R100" s="485">
        <v>269</v>
      </c>
      <c r="S100" s="490">
        <v>347</v>
      </c>
      <c r="T100" s="525">
        <v>497</v>
      </c>
      <c r="U100" s="26"/>
      <c r="V100" s="26"/>
      <c r="W100" s="348">
        <v>1572</v>
      </c>
      <c r="X100" s="376">
        <v>1664</v>
      </c>
      <c r="Y100" s="467">
        <v>1680</v>
      </c>
      <c r="AA100" s="349">
        <v>1658</v>
      </c>
      <c r="AC100" s="472">
        <v>1136</v>
      </c>
      <c r="AI100" s="486"/>
      <c r="AJ100" s="485"/>
      <c r="AK100" s="333"/>
      <c r="AL100" s="26"/>
      <c r="AM100" s="26"/>
      <c r="AN100" s="26"/>
      <c r="AO100" s="26"/>
      <c r="AP100" s="26"/>
      <c r="AQ100" s="26"/>
      <c r="AR100" s="26"/>
      <c r="AS100" s="26"/>
      <c r="AT100" s="94"/>
      <c r="AU100" s="185"/>
      <c r="AV100" s="95"/>
      <c r="AW100" s="94"/>
      <c r="AX100" s="89"/>
      <c r="AY100" s="89"/>
      <c r="AZ100" s="90"/>
      <c r="BA100" s="91"/>
      <c r="BB100" s="90"/>
      <c r="BC100" s="91"/>
      <c r="BD100" s="94"/>
      <c r="BE100" s="57"/>
      <c r="BF100" s="97"/>
      <c r="BG100" s="57"/>
      <c r="BH100" s="94"/>
      <c r="BI100" s="36"/>
      <c r="BJ100" s="97"/>
      <c r="BK100" s="35"/>
      <c r="BL100" s="26"/>
      <c r="BM100" s="93">
        <v>21</v>
      </c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</row>
    <row r="101" spans="1:84" s="2" customFormat="1" x14ac:dyDescent="0.3">
      <c r="A101" s="111"/>
      <c r="B101" s="111"/>
      <c r="C101" s="128"/>
      <c r="D101" s="111"/>
      <c r="E101" s="128"/>
      <c r="F101" s="128"/>
      <c r="G101" s="126"/>
      <c r="H101" s="149"/>
      <c r="I101" s="213"/>
      <c r="J101" s="186"/>
      <c r="K101" s="158"/>
      <c r="L101" s="186"/>
      <c r="M101" s="158"/>
      <c r="N101" s="219"/>
      <c r="O101" s="231"/>
      <c r="P101" s="219"/>
      <c r="Q101" s="231"/>
      <c r="R101" s="231"/>
      <c r="S101" s="219"/>
      <c r="T101" s="231"/>
      <c r="U101" s="26"/>
      <c r="V101" s="26"/>
      <c r="W101" s="26"/>
      <c r="X101" s="26"/>
      <c r="Y101" s="26"/>
      <c r="Z101" s="26"/>
      <c r="AA101" s="26"/>
      <c r="AB101" s="26"/>
      <c r="AC101" s="26"/>
      <c r="AD101" s="334"/>
      <c r="AE101" s="335"/>
      <c r="AF101" s="334"/>
      <c r="AG101" s="334"/>
      <c r="AH101" s="334"/>
      <c r="AI101" s="334"/>
      <c r="AJ101" s="334"/>
      <c r="AK101" s="334"/>
      <c r="AL101" s="26"/>
      <c r="AM101" s="26"/>
      <c r="AN101" s="26"/>
      <c r="AO101" s="26"/>
      <c r="AP101" s="26"/>
      <c r="AQ101" s="26"/>
      <c r="AR101" s="26"/>
      <c r="AS101" s="26"/>
      <c r="AT101" s="94"/>
      <c r="AU101" s="185"/>
      <c r="AV101" s="95"/>
      <c r="AW101" s="94"/>
      <c r="AX101" s="89"/>
      <c r="AY101" s="89"/>
      <c r="AZ101" s="90"/>
      <c r="BA101" s="91"/>
      <c r="BB101" s="90"/>
      <c r="BC101" s="91"/>
      <c r="BD101" s="94"/>
      <c r="BE101" s="57"/>
      <c r="BF101" s="97"/>
      <c r="BG101" s="57"/>
      <c r="BH101" s="94"/>
      <c r="BI101" s="36"/>
      <c r="BJ101" s="97"/>
      <c r="BK101" s="35"/>
      <c r="BL101" s="26"/>
      <c r="BM101" s="93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</row>
    <row r="102" spans="1:84" s="2" customFormat="1" x14ac:dyDescent="0.3">
      <c r="A102" s="111"/>
      <c r="B102" s="111"/>
      <c r="C102" s="128"/>
      <c r="D102" s="111"/>
      <c r="E102" s="128"/>
      <c r="F102" s="128"/>
      <c r="G102" s="126"/>
      <c r="H102" s="149"/>
      <c r="I102" s="213"/>
      <c r="J102" s="186"/>
      <c r="K102" s="158"/>
      <c r="L102" s="186"/>
      <c r="M102" s="158"/>
      <c r="N102" s="219"/>
      <c r="O102" s="231"/>
      <c r="P102" s="219"/>
      <c r="Q102" s="231"/>
      <c r="R102" s="231"/>
      <c r="S102" s="219"/>
      <c r="T102" s="231"/>
      <c r="U102" s="26"/>
      <c r="V102" s="26"/>
      <c r="W102" s="26"/>
      <c r="X102" s="26"/>
      <c r="Y102" s="26"/>
      <c r="Z102" s="26"/>
      <c r="AA102" s="26"/>
      <c r="AB102" s="26"/>
      <c r="AC102" s="26"/>
      <c r="AD102" s="334"/>
      <c r="AE102" s="335"/>
      <c r="AF102" s="334"/>
      <c r="AG102" s="334"/>
      <c r="AH102" s="334"/>
      <c r="AI102" s="334"/>
      <c r="AJ102" s="334"/>
      <c r="AK102" s="334"/>
      <c r="AL102" s="26"/>
      <c r="AM102" s="26"/>
      <c r="AN102" s="26"/>
      <c r="AO102" s="26"/>
      <c r="AP102" s="26"/>
      <c r="AQ102" s="26"/>
      <c r="AR102" s="26"/>
      <c r="AS102" s="26"/>
      <c r="AT102" s="94"/>
      <c r="AU102" s="185"/>
      <c r="AV102" s="95"/>
      <c r="AW102" s="94"/>
      <c r="AX102" s="89"/>
      <c r="AY102" s="89"/>
      <c r="AZ102" s="90"/>
      <c r="BA102" s="91"/>
      <c r="BB102" s="90"/>
      <c r="BC102" s="91"/>
      <c r="BD102" s="94"/>
      <c r="BE102" s="57"/>
      <c r="BF102" s="97"/>
      <c r="BG102" s="57"/>
      <c r="BH102" s="94"/>
      <c r="BI102" s="36"/>
      <c r="BJ102" s="97"/>
      <c r="BK102" s="35"/>
      <c r="BL102" s="26"/>
      <c r="BM102" s="93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</row>
    <row r="103" spans="1:84" s="2" customFormat="1" x14ac:dyDescent="0.3">
      <c r="A103" s="111"/>
      <c r="B103" s="111"/>
      <c r="C103" s="128"/>
      <c r="D103" s="111"/>
      <c r="E103" s="128"/>
      <c r="F103" s="128"/>
      <c r="G103" s="126"/>
      <c r="H103" s="149"/>
      <c r="I103" s="213"/>
      <c r="J103" s="186"/>
      <c r="K103" s="158"/>
      <c r="L103" s="186"/>
      <c r="M103" s="158"/>
      <c r="N103" s="219"/>
      <c r="O103" s="231"/>
      <c r="P103" s="219"/>
      <c r="Q103" s="231"/>
      <c r="R103" s="231"/>
      <c r="S103" s="219"/>
      <c r="T103" s="231"/>
      <c r="U103" s="26"/>
      <c r="V103" s="26"/>
      <c r="W103" s="26"/>
      <c r="X103" s="26"/>
      <c r="Y103" s="26"/>
      <c r="Z103" s="26"/>
      <c r="AA103" s="26"/>
      <c r="AB103" s="26"/>
      <c r="AC103" s="26"/>
      <c r="AD103" s="334"/>
      <c r="AE103" s="335"/>
      <c r="AF103" s="334"/>
      <c r="AG103" s="334"/>
      <c r="AH103" s="334"/>
      <c r="AI103" s="334"/>
      <c r="AJ103" s="334"/>
      <c r="AK103" s="334"/>
      <c r="AL103" s="26"/>
      <c r="AM103" s="26"/>
      <c r="AN103" s="26"/>
      <c r="AO103" s="26"/>
      <c r="AP103" s="26"/>
      <c r="AQ103" s="26"/>
      <c r="AR103" s="26"/>
      <c r="AS103" s="26"/>
      <c r="AT103" s="94"/>
      <c r="AU103" s="185"/>
      <c r="AV103" s="95"/>
      <c r="AW103" s="94"/>
      <c r="AX103" s="89"/>
      <c r="AY103" s="89"/>
      <c r="AZ103" s="90"/>
      <c r="BA103" s="91"/>
      <c r="BB103" s="90"/>
      <c r="BC103" s="91"/>
      <c r="BD103" s="94"/>
      <c r="BE103" s="57"/>
      <c r="BF103" s="97"/>
      <c r="BG103" s="57"/>
      <c r="BH103" s="94"/>
      <c r="BI103" s="36"/>
      <c r="BJ103" s="97"/>
      <c r="BK103" s="35"/>
      <c r="BL103" s="26"/>
      <c r="BM103" s="93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</row>
    <row r="104" spans="1:84" s="2" customFormat="1" x14ac:dyDescent="0.3">
      <c r="A104" s="111"/>
      <c r="B104" s="111"/>
      <c r="C104" s="128"/>
      <c r="D104" s="111"/>
      <c r="E104" s="128"/>
      <c r="F104" s="128"/>
      <c r="G104" s="126"/>
      <c r="H104" s="149"/>
      <c r="I104" s="213"/>
      <c r="J104" s="186"/>
      <c r="K104" s="158"/>
      <c r="L104" s="186"/>
      <c r="M104" s="158"/>
      <c r="N104" s="219"/>
      <c r="O104" s="231"/>
      <c r="P104" s="219"/>
      <c r="Q104" s="231"/>
      <c r="R104" s="231"/>
      <c r="S104" s="219"/>
      <c r="T104" s="231"/>
      <c r="U104" s="26"/>
      <c r="V104" s="26"/>
      <c r="W104" s="26"/>
      <c r="X104" s="26"/>
      <c r="Y104" s="26"/>
      <c r="Z104" s="26"/>
      <c r="AA104" s="26"/>
      <c r="AB104" s="26"/>
      <c r="AC104" s="26"/>
      <c r="AD104" s="334"/>
      <c r="AE104" s="335"/>
      <c r="AF104" s="334"/>
      <c r="AG104" s="334"/>
      <c r="AH104" s="334"/>
      <c r="AI104" s="334"/>
      <c r="AJ104" s="334"/>
      <c r="AK104" s="334"/>
      <c r="AL104" s="26"/>
      <c r="AM104" s="26"/>
      <c r="AN104" s="26"/>
      <c r="AO104" s="26"/>
      <c r="AP104" s="26"/>
      <c r="AQ104" s="26"/>
      <c r="AR104" s="26"/>
      <c r="AS104" s="26"/>
      <c r="AT104" s="94"/>
      <c r="AU104" s="185"/>
      <c r="AV104" s="95"/>
      <c r="AW104" s="94"/>
      <c r="AX104" s="89"/>
      <c r="AY104" s="89"/>
      <c r="AZ104" s="90"/>
      <c r="BA104" s="91"/>
      <c r="BB104" s="90"/>
      <c r="BC104" s="91"/>
      <c r="BD104" s="94"/>
      <c r="BE104" s="57"/>
      <c r="BF104" s="97"/>
      <c r="BG104" s="57"/>
      <c r="BH104" s="94"/>
      <c r="BI104" s="36"/>
      <c r="BJ104" s="97"/>
      <c r="BK104" s="35"/>
      <c r="BL104" s="26"/>
      <c r="BM104" s="93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</row>
    <row r="105" spans="1:84" s="2" customFormat="1" x14ac:dyDescent="0.3">
      <c r="A105" s="111"/>
      <c r="B105" s="111"/>
      <c r="C105" s="128"/>
      <c r="D105" s="111"/>
      <c r="E105" s="128"/>
      <c r="F105" s="128"/>
      <c r="G105" s="126"/>
      <c r="H105" s="149"/>
      <c r="I105" s="213"/>
      <c r="J105" s="186"/>
      <c r="K105" s="158"/>
      <c r="L105" s="186"/>
      <c r="M105" s="158"/>
      <c r="N105" s="219"/>
      <c r="O105" s="231"/>
      <c r="P105" s="219"/>
      <c r="Q105" s="231"/>
      <c r="R105" s="231"/>
      <c r="S105" s="219"/>
      <c r="T105" s="231"/>
      <c r="U105" s="26"/>
      <c r="V105" s="26"/>
      <c r="W105" s="26"/>
      <c r="X105" s="26"/>
      <c r="Y105" s="26"/>
      <c r="Z105" s="26"/>
      <c r="AA105" s="26"/>
      <c r="AB105" s="26"/>
      <c r="AC105" s="26"/>
      <c r="AD105" s="334"/>
      <c r="AE105" s="335"/>
      <c r="AF105" s="334"/>
      <c r="AG105" s="334"/>
      <c r="AH105" s="334"/>
      <c r="AI105" s="334"/>
      <c r="AJ105" s="334"/>
      <c r="AK105" s="334"/>
      <c r="AL105" s="26"/>
      <c r="AM105" s="26"/>
      <c r="AN105" s="26"/>
      <c r="AO105" s="26"/>
      <c r="AP105" s="26"/>
      <c r="AQ105" s="26"/>
      <c r="AR105" s="26"/>
      <c r="AS105" s="26"/>
      <c r="AT105" s="94"/>
      <c r="AU105" s="185"/>
      <c r="AV105" s="95"/>
      <c r="AW105" s="94"/>
      <c r="AX105" s="89"/>
      <c r="AY105" s="89"/>
      <c r="AZ105" s="90"/>
      <c r="BA105" s="91"/>
      <c r="BB105" s="90"/>
      <c r="BC105" s="91"/>
      <c r="BD105" s="94"/>
      <c r="BE105" s="57"/>
      <c r="BF105" s="97"/>
      <c r="BG105" s="57"/>
      <c r="BH105" s="94"/>
      <c r="BI105" s="36"/>
      <c r="BJ105" s="97"/>
      <c r="BK105" s="35"/>
      <c r="BL105" s="26"/>
      <c r="BM105" s="93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</row>
    <row r="106" spans="1:84" s="2" customFormat="1" x14ac:dyDescent="0.3">
      <c r="A106" s="111"/>
      <c r="B106" s="111"/>
      <c r="C106" s="128"/>
      <c r="D106" s="111"/>
      <c r="E106" s="128"/>
      <c r="F106" s="128"/>
      <c r="G106" s="111"/>
      <c r="H106" s="111"/>
      <c r="I106" s="111"/>
      <c r="J106" s="111"/>
      <c r="K106" s="111"/>
      <c r="L106" s="111"/>
      <c r="M106" s="111"/>
      <c r="N106" s="111"/>
      <c r="O106" s="127"/>
      <c r="P106" s="111"/>
      <c r="Q106" s="127"/>
      <c r="R106" s="127"/>
      <c r="S106" s="111"/>
      <c r="T106" s="127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155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94"/>
      <c r="AU106" s="185"/>
      <c r="AV106" s="95"/>
      <c r="AW106" s="94"/>
      <c r="AX106" s="89"/>
      <c r="AY106" s="89"/>
      <c r="AZ106" s="90"/>
      <c r="BA106" s="91"/>
      <c r="BB106" s="90"/>
      <c r="BC106" s="91"/>
      <c r="BD106" s="94"/>
      <c r="BE106" s="57"/>
      <c r="BF106" s="97"/>
      <c r="BG106" s="57"/>
      <c r="BH106" s="94"/>
      <c r="BI106" s="36"/>
      <c r="BJ106" s="97"/>
      <c r="BK106" s="35"/>
      <c r="BL106" s="26"/>
      <c r="BM106" s="93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</row>
    <row r="107" spans="1:84" s="2" customFormat="1" x14ac:dyDescent="0.3">
      <c r="A107" s="111"/>
      <c r="B107" s="111"/>
      <c r="C107" s="128"/>
      <c r="D107" s="111"/>
      <c r="E107" s="128"/>
      <c r="F107" s="128"/>
      <c r="G107" s="111"/>
      <c r="H107" s="111"/>
      <c r="I107" s="111"/>
      <c r="J107" s="111"/>
      <c r="K107" s="111"/>
      <c r="L107" s="138"/>
      <c r="M107" s="111"/>
      <c r="N107" s="111"/>
      <c r="O107" s="111"/>
      <c r="P107" s="111"/>
      <c r="Q107" s="111"/>
      <c r="R107" s="111"/>
      <c r="S107" s="111"/>
      <c r="T107" s="111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94"/>
      <c r="AU107" s="185"/>
      <c r="AV107" s="95"/>
      <c r="AW107" s="94"/>
      <c r="AX107" s="89"/>
      <c r="AY107" s="89"/>
      <c r="AZ107" s="90"/>
      <c r="BA107" s="91"/>
      <c r="BB107" s="90"/>
      <c r="BC107" s="91"/>
      <c r="BD107" s="94"/>
      <c r="BE107" s="57"/>
      <c r="BF107" s="97"/>
      <c r="BG107" s="57"/>
      <c r="BH107" s="94"/>
      <c r="BI107" s="36"/>
      <c r="BJ107" s="97"/>
      <c r="BK107" s="35"/>
      <c r="BL107" s="26"/>
      <c r="BM107" s="26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</row>
    <row r="108" spans="1:84" s="2" customFormat="1" x14ac:dyDescent="0.3">
      <c r="A108" s="111"/>
      <c r="B108" s="111"/>
      <c r="C108" s="128"/>
      <c r="D108" s="111"/>
      <c r="E108" s="128"/>
      <c r="F108" s="128"/>
      <c r="G108" s="111"/>
      <c r="H108" s="111"/>
      <c r="I108" s="111"/>
      <c r="J108" s="111"/>
      <c r="K108" s="111"/>
      <c r="L108" s="138"/>
      <c r="M108" s="111"/>
      <c r="N108" s="111"/>
      <c r="O108" s="111"/>
      <c r="P108" s="111"/>
      <c r="Q108" s="111"/>
      <c r="R108" s="111"/>
      <c r="S108" s="111"/>
      <c r="T108" s="111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94"/>
      <c r="AU108" s="185"/>
      <c r="AV108" s="95"/>
      <c r="AW108" s="94"/>
      <c r="AX108" s="89"/>
      <c r="AY108" s="89"/>
      <c r="AZ108" s="90"/>
      <c r="BA108" s="91"/>
      <c r="BB108" s="90"/>
      <c r="BC108" s="91"/>
      <c r="BD108" s="94"/>
      <c r="BE108" s="57"/>
      <c r="BF108" s="97"/>
      <c r="BG108" s="57"/>
      <c r="BH108" s="94"/>
      <c r="BI108" s="36"/>
      <c r="BJ108" s="97"/>
      <c r="BK108" s="35"/>
      <c r="BL108" s="26"/>
      <c r="BM108" s="26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</row>
    <row r="109" spans="1:84" s="2" customFormat="1" x14ac:dyDescent="0.3">
      <c r="A109" s="111"/>
      <c r="B109" s="111"/>
      <c r="C109" s="128"/>
      <c r="D109" s="111"/>
      <c r="E109" s="128"/>
      <c r="F109" s="128"/>
      <c r="G109" s="111"/>
      <c r="H109" s="111"/>
      <c r="I109" s="111"/>
      <c r="J109" s="111"/>
      <c r="K109" s="111"/>
      <c r="L109" s="138"/>
      <c r="M109" s="111"/>
      <c r="N109" s="138"/>
      <c r="O109" s="111"/>
      <c r="P109" s="138"/>
      <c r="Q109" s="111"/>
      <c r="R109" s="111"/>
      <c r="S109" s="138"/>
      <c r="T109" s="111"/>
      <c r="U109" s="26"/>
      <c r="V109" s="26"/>
      <c r="W109" s="26"/>
      <c r="X109" s="26"/>
      <c r="Y109" s="26"/>
      <c r="Z109" s="26"/>
      <c r="AA109" s="26"/>
      <c r="AB109" s="26"/>
      <c r="AC109" s="26"/>
      <c r="AD109" s="105"/>
      <c r="AE109" s="26"/>
      <c r="AF109" s="105"/>
      <c r="AG109" s="105"/>
      <c r="AH109" s="105"/>
      <c r="AI109" s="105"/>
      <c r="AJ109" s="105"/>
      <c r="AK109" s="105"/>
      <c r="AL109" s="26"/>
      <c r="AM109" s="26"/>
      <c r="AN109" s="26"/>
      <c r="AO109" s="26"/>
      <c r="AP109" s="26"/>
      <c r="AQ109" s="26"/>
      <c r="AR109" s="26"/>
      <c r="AS109" s="26"/>
      <c r="AT109" s="94"/>
      <c r="AU109" s="185"/>
      <c r="AV109" s="95"/>
      <c r="AW109" s="94"/>
      <c r="AX109" s="89"/>
      <c r="AY109" s="89"/>
      <c r="AZ109" s="90"/>
      <c r="BA109" s="91"/>
      <c r="BB109" s="90"/>
      <c r="BC109" s="91"/>
      <c r="BD109" s="94"/>
      <c r="BE109" s="57"/>
      <c r="BF109" s="97"/>
      <c r="BG109" s="57"/>
      <c r="BH109" s="94"/>
      <c r="BI109" s="36"/>
      <c r="BJ109" s="97"/>
      <c r="BK109" s="35"/>
      <c r="BL109" s="25"/>
      <c r="BM109" s="26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</row>
    <row r="110" spans="1:84" s="2" customFormat="1" x14ac:dyDescent="0.3">
      <c r="A110" s="111"/>
      <c r="B110" s="111"/>
      <c r="C110" s="128"/>
      <c r="D110" s="111"/>
      <c r="E110" s="128"/>
      <c r="F110" s="128"/>
      <c r="G110" s="111"/>
      <c r="H110" s="111"/>
      <c r="I110" s="111"/>
      <c r="J110" s="111"/>
      <c r="K110" s="111"/>
      <c r="L110" s="138"/>
      <c r="M110" s="111"/>
      <c r="N110" s="138"/>
      <c r="O110" s="111"/>
      <c r="P110" s="138"/>
      <c r="Q110" s="111"/>
      <c r="R110" s="111"/>
      <c r="S110" s="138"/>
      <c r="T110" s="111"/>
      <c r="U110" s="26"/>
      <c r="V110" s="26"/>
      <c r="W110" s="26"/>
      <c r="X110" s="26"/>
      <c r="Y110" s="26"/>
      <c r="Z110" s="26"/>
      <c r="AA110" s="26"/>
      <c r="AB110" s="26"/>
      <c r="AC110" s="26"/>
      <c r="AD110" s="105"/>
      <c r="AE110" s="26"/>
      <c r="AF110" s="105"/>
      <c r="AG110" s="105"/>
      <c r="AH110" s="105"/>
      <c r="AI110" s="105"/>
      <c r="AJ110" s="105"/>
      <c r="AK110" s="105"/>
      <c r="AL110" s="26"/>
      <c r="AM110" s="26"/>
      <c r="AN110" s="26"/>
      <c r="AO110" s="26"/>
      <c r="AP110" s="26"/>
      <c r="AQ110" s="26"/>
      <c r="AR110" s="26"/>
      <c r="AS110" s="26"/>
      <c r="AT110" s="94"/>
      <c r="AU110" s="185"/>
      <c r="AV110" s="95"/>
      <c r="AW110" s="94"/>
      <c r="AX110" s="89"/>
      <c r="AY110" s="89"/>
      <c r="AZ110" s="90"/>
      <c r="BA110" s="91"/>
      <c r="BB110" s="90"/>
      <c r="BC110" s="91"/>
      <c r="BD110" s="94"/>
      <c r="BE110" s="57"/>
      <c r="BF110" s="97"/>
      <c r="BG110" s="57"/>
      <c r="BH110" s="94"/>
      <c r="BI110" s="36"/>
      <c r="BJ110" s="97"/>
      <c r="BK110" s="35"/>
      <c r="BL110" s="25"/>
      <c r="BM110" s="26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</row>
    <row r="111" spans="1:84" s="2" customFormat="1" x14ac:dyDescent="0.3">
      <c r="A111" s="111"/>
      <c r="B111" s="111"/>
      <c r="C111" s="128"/>
      <c r="D111" s="111"/>
      <c r="E111" s="128"/>
      <c r="F111" s="128"/>
      <c r="G111" s="111"/>
      <c r="H111" s="111"/>
      <c r="I111" s="111"/>
      <c r="J111" s="111"/>
      <c r="K111" s="111"/>
      <c r="L111" s="111"/>
      <c r="M111" s="111"/>
      <c r="N111" s="138"/>
      <c r="O111" s="111"/>
      <c r="P111" s="138"/>
      <c r="Q111" s="111"/>
      <c r="R111" s="111"/>
      <c r="S111" s="138"/>
      <c r="T111" s="111"/>
      <c r="U111" s="26"/>
      <c r="V111" s="26"/>
      <c r="W111" s="26"/>
      <c r="X111" s="26"/>
      <c r="Y111" s="26"/>
      <c r="Z111" s="26"/>
      <c r="AA111" s="26"/>
      <c r="AB111" s="26"/>
      <c r="AC111" s="26"/>
      <c r="AD111" s="105"/>
      <c r="AE111" s="26"/>
      <c r="AF111" s="105"/>
      <c r="AG111" s="105"/>
      <c r="AH111" s="105"/>
      <c r="AI111" s="105"/>
      <c r="AJ111" s="105"/>
      <c r="AK111" s="105"/>
      <c r="AL111" s="26"/>
      <c r="AM111" s="26"/>
      <c r="AN111" s="26"/>
      <c r="AO111" s="26"/>
      <c r="AP111" s="26"/>
      <c r="AQ111" s="26"/>
      <c r="AR111" s="26"/>
      <c r="AS111" s="26"/>
      <c r="AT111" s="94"/>
      <c r="AU111" s="185"/>
      <c r="AV111" s="95"/>
      <c r="AW111" s="94"/>
      <c r="AX111" s="89"/>
      <c r="AY111" s="89"/>
      <c r="AZ111" s="90"/>
      <c r="BA111" s="91"/>
      <c r="BB111" s="90"/>
      <c r="BC111" s="91"/>
      <c r="BD111" s="94"/>
      <c r="BE111" s="57"/>
      <c r="BF111" s="97"/>
      <c r="BG111" s="57"/>
      <c r="BH111" s="94"/>
      <c r="BI111" s="36"/>
      <c r="BJ111" s="97"/>
      <c r="BK111" s="35"/>
      <c r="BL111" s="25"/>
      <c r="BM111" s="26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</row>
    <row r="112" spans="1:84" s="2" customFormat="1" x14ac:dyDescent="0.3">
      <c r="A112" s="111"/>
      <c r="B112" s="111"/>
      <c r="C112" s="128"/>
      <c r="D112" s="111"/>
      <c r="E112" s="128"/>
      <c r="F112" s="128"/>
      <c r="G112" s="111"/>
      <c r="H112" s="111"/>
      <c r="I112" s="111"/>
      <c r="J112" s="111"/>
      <c r="K112" s="111"/>
      <c r="L112" s="111"/>
      <c r="M112" s="111"/>
      <c r="N112" s="138"/>
      <c r="O112" s="111"/>
      <c r="P112" s="138"/>
      <c r="Q112" s="111"/>
      <c r="R112" s="111"/>
      <c r="S112" s="138"/>
      <c r="T112" s="111"/>
      <c r="U112" s="26"/>
      <c r="V112" s="26"/>
      <c r="W112" s="26"/>
      <c r="X112" s="26"/>
      <c r="Y112" s="26"/>
      <c r="Z112" s="26"/>
      <c r="AA112" s="26"/>
      <c r="AB112" s="26"/>
      <c r="AC112" s="26"/>
      <c r="AD112" s="105"/>
      <c r="AE112" s="26"/>
      <c r="AF112" s="105"/>
      <c r="AG112" s="105"/>
      <c r="AH112" s="105"/>
      <c r="AI112" s="105"/>
      <c r="AJ112" s="105"/>
      <c r="AK112" s="105"/>
      <c r="AL112" s="26"/>
      <c r="AM112" s="26"/>
      <c r="AN112" s="26"/>
      <c r="AO112" s="26"/>
      <c r="AP112" s="26"/>
      <c r="AQ112" s="81"/>
      <c r="AR112" s="93"/>
      <c r="AS112" s="93"/>
      <c r="AT112" s="94"/>
      <c r="AU112" s="185"/>
      <c r="AV112" s="95"/>
      <c r="AW112" s="94"/>
      <c r="AX112" s="26"/>
      <c r="AY112" s="26"/>
      <c r="AZ112" s="157"/>
      <c r="BA112" s="43"/>
      <c r="BB112" s="157"/>
      <c r="BC112" s="43"/>
      <c r="BD112" s="26"/>
      <c r="BE112" s="35"/>
      <c r="BF112" s="26"/>
      <c r="BG112" s="35"/>
      <c r="BH112" s="26"/>
      <c r="BI112" s="35"/>
      <c r="BJ112" s="26"/>
      <c r="BK112" s="35"/>
      <c r="BL112" s="26"/>
      <c r="BM112" s="26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</row>
    <row r="113" spans="1:84" s="2" customFormat="1" ht="18.75" customHeight="1" x14ac:dyDescent="0.3">
      <c r="A113" s="111"/>
      <c r="B113" s="140"/>
      <c r="C113" s="128"/>
      <c r="D113" s="111"/>
      <c r="E113" s="128"/>
      <c r="F113" s="128"/>
      <c r="G113" s="128"/>
      <c r="H113" s="128"/>
      <c r="I113" s="128"/>
      <c r="J113" s="128"/>
      <c r="K113" s="128"/>
      <c r="L113" s="128"/>
      <c r="M113" s="128"/>
      <c r="N113" s="124"/>
      <c r="O113" s="111"/>
      <c r="P113" s="138"/>
      <c r="Q113" s="111"/>
      <c r="R113" s="111"/>
      <c r="S113" s="124"/>
      <c r="T113" s="111"/>
      <c r="U113" s="26"/>
      <c r="V113" s="26"/>
      <c r="W113" s="26"/>
      <c r="X113" s="26"/>
      <c r="Y113" s="26"/>
      <c r="Z113" s="26"/>
      <c r="AA113" s="26"/>
      <c r="AB113" s="26"/>
      <c r="AC113" s="26"/>
      <c r="AD113" s="336"/>
      <c r="AE113" s="26"/>
      <c r="AF113" s="336"/>
      <c r="AG113" s="336"/>
      <c r="AH113" s="336"/>
      <c r="AI113" s="336"/>
      <c r="AJ113" s="336"/>
      <c r="AK113" s="336"/>
      <c r="AL113" s="26"/>
      <c r="AM113" s="26"/>
      <c r="AN113" s="26"/>
      <c r="AO113" s="26"/>
      <c r="AP113" s="26"/>
      <c r="AQ113" s="81"/>
      <c r="AR113" s="93"/>
      <c r="AS113" s="93"/>
      <c r="AT113" s="94"/>
      <c r="AU113" s="185"/>
      <c r="AV113" s="95"/>
      <c r="AW113" s="94"/>
      <c r="AX113" s="26"/>
      <c r="AY113" s="26"/>
      <c r="AZ113" s="157"/>
      <c r="BA113" s="43"/>
      <c r="BB113" s="157"/>
      <c r="BC113" s="43"/>
      <c r="BD113" s="26"/>
      <c r="BE113" s="35"/>
      <c r="BF113" s="35"/>
      <c r="BG113" s="35"/>
      <c r="BH113" s="26"/>
      <c r="BI113" s="35"/>
      <c r="BJ113" s="35"/>
      <c r="BK113" s="35"/>
      <c r="BL113" s="26"/>
      <c r="BM113" s="26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</row>
    <row r="114" spans="1:84" s="2" customFormat="1" ht="19.5" customHeight="1" x14ac:dyDescent="0.3">
      <c r="A114" s="111"/>
      <c r="B114" s="117"/>
      <c r="C114" s="128"/>
      <c r="D114" s="111"/>
      <c r="E114" s="128"/>
      <c r="F114" s="128"/>
      <c r="G114" s="128"/>
      <c r="H114" s="128"/>
      <c r="I114" s="128"/>
      <c r="J114" s="128"/>
      <c r="K114" s="128"/>
      <c r="L114" s="128"/>
      <c r="M114" s="128"/>
      <c r="N114" s="124"/>
      <c r="O114" s="111"/>
      <c r="P114" s="111"/>
      <c r="Q114" s="124"/>
      <c r="R114" s="111"/>
      <c r="S114" s="124"/>
      <c r="T114" s="111"/>
      <c r="U114" s="26"/>
      <c r="V114" s="26"/>
      <c r="W114" s="26"/>
      <c r="X114" s="26"/>
      <c r="Y114" s="26"/>
      <c r="Z114" s="26"/>
      <c r="AA114" s="26"/>
      <c r="AB114" s="26"/>
      <c r="AC114" s="26"/>
      <c r="AD114" s="336"/>
      <c r="AE114" s="26"/>
      <c r="AF114" s="336"/>
      <c r="AG114" s="336"/>
      <c r="AH114" s="336"/>
      <c r="AI114" s="336"/>
      <c r="AJ114" s="336"/>
      <c r="AK114" s="336"/>
      <c r="AL114" s="26"/>
      <c r="AM114" s="26"/>
      <c r="AN114" s="26"/>
      <c r="AO114" s="26"/>
      <c r="AP114" s="26"/>
      <c r="AQ114" s="81"/>
      <c r="AR114" s="93"/>
      <c r="AS114" s="93"/>
      <c r="AT114" s="94"/>
      <c r="AU114" s="185"/>
      <c r="AV114" s="95"/>
      <c r="AW114" s="94"/>
      <c r="AX114" s="26"/>
      <c r="AY114" s="26"/>
      <c r="AZ114" s="157"/>
      <c r="BA114" s="43"/>
      <c r="BB114" s="157"/>
      <c r="BC114" s="43"/>
      <c r="BD114" s="26"/>
      <c r="BE114" s="35"/>
      <c r="BF114" s="35"/>
      <c r="BG114" s="35"/>
      <c r="BH114" s="26"/>
      <c r="BI114" s="35"/>
      <c r="BJ114" s="35"/>
      <c r="BK114" s="35"/>
      <c r="BL114" s="26"/>
      <c r="BM114" s="26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</row>
    <row r="115" spans="1:84" s="2" customFormat="1" x14ac:dyDescent="0.3">
      <c r="A115" s="111"/>
      <c r="B115" s="117"/>
      <c r="C115" s="128"/>
      <c r="D115" s="111"/>
      <c r="E115" s="128"/>
      <c r="F115" s="128"/>
      <c r="G115" s="128"/>
      <c r="H115" s="128"/>
      <c r="I115" s="128"/>
      <c r="J115" s="128"/>
      <c r="K115" s="128"/>
      <c r="L115" s="128"/>
      <c r="M115" s="128"/>
      <c r="N115" s="124"/>
      <c r="O115" s="111"/>
      <c r="P115" s="111"/>
      <c r="Q115" s="124"/>
      <c r="R115" s="111"/>
      <c r="S115" s="124"/>
      <c r="T115" s="111"/>
      <c r="U115" s="26"/>
      <c r="V115" s="26"/>
      <c r="W115" s="26"/>
      <c r="X115" s="26"/>
      <c r="Y115" s="26"/>
      <c r="Z115" s="26"/>
      <c r="AA115" s="26"/>
      <c r="AB115" s="26"/>
      <c r="AC115" s="26"/>
      <c r="AD115" s="336"/>
      <c r="AE115" s="26"/>
      <c r="AF115" s="336"/>
      <c r="AG115" s="336"/>
      <c r="AH115" s="336"/>
      <c r="AI115" s="336"/>
      <c r="AJ115" s="336"/>
      <c r="AK115" s="33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7"/>
      <c r="AX115" s="26"/>
      <c r="AY115" s="26"/>
      <c r="AZ115" s="157"/>
      <c r="BA115" s="43"/>
      <c r="BB115" s="157"/>
      <c r="BC115" s="43"/>
      <c r="BD115" s="94"/>
      <c r="BE115" s="57"/>
      <c r="BF115" s="97"/>
      <c r="BG115" s="35"/>
      <c r="BH115" s="26"/>
      <c r="BI115" s="35"/>
      <c r="BJ115" s="35"/>
      <c r="BK115" s="35"/>
      <c r="BL115" s="26"/>
      <c r="BM115" s="26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</row>
    <row r="116" spans="1:84" s="2" customFormat="1" x14ac:dyDescent="0.3">
      <c r="A116" s="111"/>
      <c r="B116" s="117"/>
      <c r="C116" s="128"/>
      <c r="D116" s="111"/>
      <c r="E116" s="128"/>
      <c r="F116" s="128"/>
      <c r="G116" s="128"/>
      <c r="H116" s="128"/>
      <c r="I116" s="128"/>
      <c r="J116" s="128"/>
      <c r="K116" s="128"/>
      <c r="L116" s="128"/>
      <c r="M116" s="128"/>
      <c r="N116" s="124"/>
      <c r="O116" s="111"/>
      <c r="P116" s="111"/>
      <c r="Q116" s="124"/>
      <c r="R116" s="111"/>
      <c r="S116" s="124"/>
      <c r="T116" s="111"/>
      <c r="U116" s="26"/>
      <c r="V116" s="26"/>
      <c r="W116" s="26"/>
      <c r="X116" s="26"/>
      <c r="Y116" s="26"/>
      <c r="Z116" s="26"/>
      <c r="AA116" s="26"/>
      <c r="AB116" s="26"/>
      <c r="AC116" s="26"/>
      <c r="AD116" s="336"/>
      <c r="AE116" s="26"/>
      <c r="AF116" s="336"/>
      <c r="AG116" s="336"/>
      <c r="AH116" s="336"/>
      <c r="AI116" s="336"/>
      <c r="AJ116" s="336"/>
      <c r="AK116" s="33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7"/>
      <c r="AX116" s="26"/>
      <c r="AY116" s="26"/>
      <c r="AZ116" s="157"/>
      <c r="BA116" s="43"/>
      <c r="BB116" s="157"/>
      <c r="BC116" s="43"/>
      <c r="BD116" s="90"/>
      <c r="BE116" s="106"/>
      <c r="BF116" s="43"/>
      <c r="BG116" s="35"/>
      <c r="BH116" s="26"/>
      <c r="BI116" s="35"/>
      <c r="BJ116" s="35"/>
      <c r="BK116" s="35"/>
      <c r="BL116" s="26"/>
      <c r="BM116" s="26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</row>
    <row r="117" spans="1:84" s="2" customFormat="1" x14ac:dyDescent="0.3">
      <c r="A117" s="111"/>
      <c r="B117" s="117"/>
      <c r="C117" s="128"/>
      <c r="D117" s="111"/>
      <c r="E117" s="128"/>
      <c r="F117" s="128"/>
      <c r="G117" s="128"/>
      <c r="H117" s="128"/>
      <c r="I117" s="128"/>
      <c r="J117" s="128"/>
      <c r="K117" s="128"/>
      <c r="L117" s="128"/>
      <c r="M117" s="128"/>
      <c r="N117" s="124"/>
      <c r="O117" s="111"/>
      <c r="P117" s="111"/>
      <c r="Q117" s="124"/>
      <c r="R117" s="111"/>
      <c r="S117" s="124"/>
      <c r="T117" s="111"/>
      <c r="U117" s="26"/>
      <c r="V117" s="26"/>
      <c r="W117" s="26"/>
      <c r="X117" s="26"/>
      <c r="Y117" s="26"/>
      <c r="Z117" s="26"/>
      <c r="AA117" s="26"/>
      <c r="AB117" s="26"/>
      <c r="AC117" s="26"/>
      <c r="AD117" s="336"/>
      <c r="AE117" s="26"/>
      <c r="AF117" s="336"/>
      <c r="AG117" s="336"/>
      <c r="AH117" s="336"/>
      <c r="AI117" s="336"/>
      <c r="AJ117" s="336"/>
      <c r="AK117" s="33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7"/>
      <c r="AX117" s="26"/>
      <c r="AY117" s="26"/>
      <c r="AZ117" s="157"/>
      <c r="BA117" s="43"/>
      <c r="BB117" s="157"/>
      <c r="BC117" s="43"/>
      <c r="BD117" s="90"/>
      <c r="BE117" s="106"/>
      <c r="BF117" s="43"/>
      <c r="BG117" s="35"/>
      <c r="BH117" s="26"/>
      <c r="BI117" s="35"/>
      <c r="BJ117" s="35"/>
      <c r="BK117" s="35"/>
      <c r="BL117" s="26"/>
      <c r="BM117" s="26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</row>
    <row r="118" spans="1:84" s="2" customFormat="1" x14ac:dyDescent="0.3">
      <c r="A118" s="111"/>
      <c r="B118" s="117"/>
      <c r="C118" s="128"/>
      <c r="D118" s="111"/>
      <c r="E118" s="128"/>
      <c r="F118" s="128"/>
      <c r="G118" s="128"/>
      <c r="H118" s="128"/>
      <c r="I118" s="128"/>
      <c r="J118" s="128"/>
      <c r="K118" s="128"/>
      <c r="L118" s="128"/>
      <c r="M118" s="128"/>
      <c r="N118" s="124"/>
      <c r="O118" s="111"/>
      <c r="P118" s="111"/>
      <c r="Q118" s="124"/>
      <c r="R118" s="111"/>
      <c r="S118" s="124"/>
      <c r="T118" s="111"/>
      <c r="U118" s="26"/>
      <c r="V118" s="26"/>
      <c r="W118" s="26"/>
      <c r="X118" s="26"/>
      <c r="Y118" s="26"/>
      <c r="Z118" s="26"/>
      <c r="AA118" s="26"/>
      <c r="AB118" s="26"/>
      <c r="AC118" s="26"/>
      <c r="AD118" s="336"/>
      <c r="AE118" s="26"/>
      <c r="AF118" s="336"/>
      <c r="AG118" s="336"/>
      <c r="AH118" s="336"/>
      <c r="AI118" s="336"/>
      <c r="AJ118" s="336"/>
      <c r="AK118" s="33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7"/>
      <c r="AX118" s="26"/>
      <c r="AY118" s="26"/>
      <c r="AZ118" s="157"/>
      <c r="BA118" s="43"/>
      <c r="BB118" s="157"/>
      <c r="BC118" s="43"/>
      <c r="BD118" s="90"/>
      <c r="BE118" s="106"/>
      <c r="BF118" s="43"/>
      <c r="BG118" s="35"/>
      <c r="BH118" s="26"/>
      <c r="BI118" s="35"/>
      <c r="BJ118" s="35"/>
      <c r="BK118" s="35"/>
      <c r="BL118" s="26"/>
      <c r="BM118" s="26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</row>
    <row r="119" spans="1:84" s="2" customFormat="1" x14ac:dyDescent="0.3">
      <c r="A119" s="111"/>
      <c r="B119" s="117"/>
      <c r="C119" s="128"/>
      <c r="D119" s="111"/>
      <c r="E119" s="128"/>
      <c r="F119" s="128"/>
      <c r="G119" s="128"/>
      <c r="H119" s="128"/>
      <c r="I119" s="128"/>
      <c r="J119" s="128"/>
      <c r="K119" s="128"/>
      <c r="L119" s="128"/>
      <c r="M119" s="128"/>
      <c r="N119" s="124"/>
      <c r="O119" s="111"/>
      <c r="P119" s="111"/>
      <c r="Q119" s="124"/>
      <c r="R119" s="111"/>
      <c r="S119" s="124"/>
      <c r="T119" s="111"/>
      <c r="U119" s="26"/>
      <c r="V119" s="26"/>
      <c r="W119" s="26"/>
      <c r="X119" s="26"/>
      <c r="Y119" s="26"/>
      <c r="Z119" s="26"/>
      <c r="AA119" s="26"/>
      <c r="AB119" s="26"/>
      <c r="AC119" s="26"/>
      <c r="AD119" s="336"/>
      <c r="AE119" s="26"/>
      <c r="AF119" s="336"/>
      <c r="AG119" s="336"/>
      <c r="AH119" s="336"/>
      <c r="AI119" s="336"/>
      <c r="AJ119" s="336"/>
      <c r="AK119" s="33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7"/>
      <c r="AX119" s="26"/>
      <c r="AY119" s="26"/>
      <c r="AZ119" s="157"/>
      <c r="BA119" s="43"/>
      <c r="BB119" s="157"/>
      <c r="BC119" s="43"/>
      <c r="BD119" s="90"/>
      <c r="BE119" s="106"/>
      <c r="BF119" s="43"/>
      <c r="BG119" s="35"/>
      <c r="BH119" s="26"/>
      <c r="BI119" s="35"/>
      <c r="BJ119" s="35"/>
      <c r="BK119" s="35"/>
      <c r="BL119" s="26"/>
      <c r="BM119" s="26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</row>
    <row r="120" spans="1:84" s="2" customFormat="1" x14ac:dyDescent="0.3">
      <c r="A120" s="111"/>
      <c r="B120" s="117"/>
      <c r="C120" s="128"/>
      <c r="D120" s="111"/>
      <c r="E120" s="128"/>
      <c r="F120" s="128"/>
      <c r="G120" s="128"/>
      <c r="H120" s="128"/>
      <c r="I120" s="128"/>
      <c r="J120" s="128"/>
      <c r="K120" s="128"/>
      <c r="L120" s="128"/>
      <c r="M120" s="128"/>
      <c r="N120" s="124"/>
      <c r="O120" s="111"/>
      <c r="P120" s="111"/>
      <c r="Q120" s="124"/>
      <c r="R120" s="111"/>
      <c r="S120" s="124"/>
      <c r="T120" s="111"/>
      <c r="U120" s="26"/>
      <c r="V120" s="26"/>
      <c r="W120" s="26"/>
      <c r="X120" s="26"/>
      <c r="Y120" s="26"/>
      <c r="Z120" s="26"/>
      <c r="AA120" s="26"/>
      <c r="AB120" s="26"/>
      <c r="AC120" s="26"/>
      <c r="AD120" s="336"/>
      <c r="AE120" s="26"/>
      <c r="AF120" s="336"/>
      <c r="AG120" s="336"/>
      <c r="AH120" s="336"/>
      <c r="AI120" s="336"/>
      <c r="AJ120" s="336"/>
      <c r="AK120" s="33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7"/>
      <c r="AX120" s="26"/>
      <c r="AY120" s="26"/>
      <c r="AZ120" s="157"/>
      <c r="BA120" s="43"/>
      <c r="BB120" s="157"/>
      <c r="BC120" s="43"/>
      <c r="BD120" s="90">
        <f>BD68*Vergleich!BO28</f>
        <v>0</v>
      </c>
      <c r="BE120" s="106"/>
      <c r="BF120" s="43">
        <f>ROUND(AT68*Vergleich!BP28,)</f>
        <v>0</v>
      </c>
      <c r="BG120" s="35"/>
      <c r="BH120" s="26"/>
      <c r="BI120" s="35"/>
      <c r="BJ120" s="35"/>
      <c r="BK120" s="35"/>
      <c r="BL120" s="26"/>
      <c r="BM120" s="26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</row>
    <row r="121" spans="1:84" s="2" customFormat="1" x14ac:dyDescent="0.3">
      <c r="A121" s="111"/>
      <c r="B121" s="117"/>
      <c r="C121" s="128"/>
      <c r="D121" s="111"/>
      <c r="E121" s="128"/>
      <c r="F121" s="128"/>
      <c r="G121" s="128"/>
      <c r="H121" s="128"/>
      <c r="I121" s="128"/>
      <c r="J121" s="128"/>
      <c r="K121" s="128"/>
      <c r="L121" s="128"/>
      <c r="M121" s="128"/>
      <c r="N121" s="124"/>
      <c r="O121" s="111"/>
      <c r="P121" s="111"/>
      <c r="Q121" s="124"/>
      <c r="R121" s="111"/>
      <c r="S121" s="124"/>
      <c r="T121" s="111"/>
      <c r="U121" s="26"/>
      <c r="V121" s="26"/>
      <c r="W121" s="26"/>
      <c r="X121" s="26"/>
      <c r="Y121" s="26"/>
      <c r="Z121" s="26"/>
      <c r="AA121" s="26"/>
      <c r="AB121" s="26"/>
      <c r="AC121" s="26"/>
      <c r="AD121" s="336"/>
      <c r="AE121" s="26"/>
      <c r="AF121" s="336"/>
      <c r="AG121" s="336"/>
      <c r="AH121" s="336"/>
      <c r="AI121" s="336"/>
      <c r="AJ121" s="336"/>
      <c r="AK121" s="33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7"/>
      <c r="AX121" s="26"/>
      <c r="AY121" s="26"/>
      <c r="AZ121" s="157"/>
      <c r="BA121" s="43"/>
      <c r="BB121" s="157"/>
      <c r="BC121" s="43"/>
      <c r="BD121" s="95">
        <f>MIN(BD116:BD120)</f>
        <v>0</v>
      </c>
      <c r="BE121" s="35"/>
      <c r="BF121" s="99">
        <f>MIN(BF116:BF120)</f>
        <v>0</v>
      </c>
      <c r="BG121" s="35"/>
      <c r="BH121" s="26"/>
      <c r="BI121" s="35"/>
      <c r="BJ121" s="35"/>
      <c r="BK121" s="35"/>
      <c r="BL121" s="26"/>
      <c r="BM121" s="26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</row>
    <row r="122" spans="1:84" s="2" customFormat="1" x14ac:dyDescent="0.3">
      <c r="A122" s="111"/>
      <c r="B122" s="117"/>
      <c r="C122" s="128"/>
      <c r="D122" s="111"/>
      <c r="E122" s="128"/>
      <c r="F122" s="128"/>
      <c r="G122" s="128"/>
      <c r="H122" s="128"/>
      <c r="I122" s="128"/>
      <c r="J122" s="128"/>
      <c r="K122" s="128"/>
      <c r="L122" s="128"/>
      <c r="M122" s="128"/>
      <c r="N122" s="124"/>
      <c r="O122" s="111"/>
      <c r="P122" s="111"/>
      <c r="Q122" s="124"/>
      <c r="R122" s="111"/>
      <c r="S122" s="124"/>
      <c r="T122" s="111"/>
      <c r="U122" s="26"/>
      <c r="V122" s="26"/>
      <c r="W122" s="26"/>
      <c r="X122" s="26"/>
      <c r="Y122" s="26"/>
      <c r="Z122" s="26"/>
      <c r="AA122" s="26"/>
      <c r="AB122" s="26"/>
      <c r="AC122" s="26"/>
      <c r="AD122" s="336"/>
      <c r="AE122" s="26"/>
      <c r="AF122" s="336"/>
      <c r="AG122" s="336"/>
      <c r="AH122" s="336"/>
      <c r="AI122" s="336"/>
      <c r="AJ122" s="336"/>
      <c r="AK122" s="33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7"/>
      <c r="AX122" s="26"/>
      <c r="AY122" s="26"/>
      <c r="AZ122" s="157"/>
      <c r="BA122" s="43"/>
      <c r="BB122" s="157"/>
      <c r="BC122" s="43"/>
      <c r="BD122" s="26"/>
      <c r="BE122" s="35"/>
      <c r="BF122" s="35"/>
      <c r="BG122" s="35"/>
      <c r="BH122" s="26"/>
      <c r="BI122" s="35"/>
      <c r="BJ122" s="35"/>
      <c r="BK122" s="35"/>
      <c r="BL122" s="26"/>
      <c r="BM122" s="26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</row>
    <row r="123" spans="1:84" s="2" customFormat="1" x14ac:dyDescent="0.3">
      <c r="A123" s="111"/>
      <c r="B123" s="117"/>
      <c r="C123" s="128"/>
      <c r="D123" s="111"/>
      <c r="E123" s="128"/>
      <c r="F123" s="128"/>
      <c r="G123" s="128"/>
      <c r="H123" s="128"/>
      <c r="I123" s="128"/>
      <c r="J123" s="128"/>
      <c r="K123" s="128"/>
      <c r="L123" s="128"/>
      <c r="M123" s="128"/>
      <c r="N123" s="124"/>
      <c r="O123" s="111"/>
      <c r="P123" s="111"/>
      <c r="Q123" s="124"/>
      <c r="R123" s="111"/>
      <c r="S123" s="124"/>
      <c r="T123" s="111"/>
      <c r="U123" s="26"/>
      <c r="V123" s="26"/>
      <c r="W123" s="26"/>
      <c r="X123" s="26"/>
      <c r="Y123" s="26"/>
      <c r="Z123" s="26"/>
      <c r="AA123" s="26"/>
      <c r="AB123" s="26"/>
      <c r="AC123" s="26"/>
      <c r="AD123" s="336"/>
      <c r="AE123" s="26"/>
      <c r="AF123" s="336"/>
      <c r="AG123" s="336"/>
      <c r="AH123" s="336"/>
      <c r="AI123" s="336"/>
      <c r="AJ123" s="336"/>
      <c r="AK123" s="33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7"/>
      <c r="AX123" s="26"/>
      <c r="AY123" s="26"/>
      <c r="AZ123" s="157"/>
      <c r="BA123" s="43"/>
      <c r="BB123" s="157"/>
      <c r="BC123" s="43"/>
      <c r="BD123" s="26"/>
      <c r="BE123" s="35"/>
      <c r="BF123" s="35"/>
      <c r="BG123" s="35"/>
      <c r="BH123" s="26"/>
      <c r="BI123" s="35"/>
      <c r="BJ123" s="35"/>
      <c r="BK123" s="35"/>
      <c r="BL123" s="26"/>
      <c r="BM123" s="26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</row>
    <row r="124" spans="1:84" s="2" customFormat="1" x14ac:dyDescent="0.3">
      <c r="A124" s="111"/>
      <c r="B124" s="117"/>
      <c r="C124" s="128"/>
      <c r="D124" s="111"/>
      <c r="E124" s="128"/>
      <c r="F124" s="128"/>
      <c r="G124" s="128"/>
      <c r="H124" s="128"/>
      <c r="I124" s="128"/>
      <c r="J124" s="128"/>
      <c r="K124" s="128"/>
      <c r="L124" s="128"/>
      <c r="M124" s="128"/>
      <c r="N124" s="124"/>
      <c r="O124" s="111"/>
      <c r="P124" s="111"/>
      <c r="Q124" s="124"/>
      <c r="R124" s="111"/>
      <c r="S124" s="124"/>
      <c r="T124" s="111"/>
      <c r="U124" s="26"/>
      <c r="V124" s="26"/>
      <c r="W124" s="26"/>
      <c r="X124" s="26"/>
      <c r="Y124" s="26"/>
      <c r="Z124" s="26"/>
      <c r="AA124" s="26"/>
      <c r="AB124" s="26"/>
      <c r="AC124" s="26"/>
      <c r="AD124" s="336"/>
      <c r="AE124" s="26"/>
      <c r="AF124" s="336"/>
      <c r="AG124" s="336"/>
      <c r="AH124" s="336"/>
      <c r="AI124" s="336"/>
      <c r="AJ124" s="336"/>
      <c r="AK124" s="33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7"/>
      <c r="AX124" s="26"/>
      <c r="AY124" s="26"/>
      <c r="AZ124" s="157"/>
      <c r="BA124" s="43"/>
      <c r="BB124" s="157"/>
      <c r="BC124" s="43"/>
      <c r="BD124" s="26"/>
      <c r="BE124" s="35"/>
      <c r="BF124" s="35"/>
      <c r="BG124" s="35"/>
      <c r="BH124" s="26"/>
      <c r="BI124" s="35"/>
      <c r="BJ124" s="35"/>
      <c r="BK124" s="35"/>
      <c r="BL124" s="26"/>
      <c r="BM124" s="26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</row>
    <row r="125" spans="1:84" s="2" customFormat="1" x14ac:dyDescent="0.3">
      <c r="A125" s="111"/>
      <c r="B125" s="117"/>
      <c r="C125" s="128"/>
      <c r="D125" s="111"/>
      <c r="E125" s="128"/>
      <c r="F125" s="128"/>
      <c r="G125" s="128"/>
      <c r="H125" s="128"/>
      <c r="I125" s="128"/>
      <c r="J125" s="128"/>
      <c r="K125" s="128"/>
      <c r="L125" s="128"/>
      <c r="M125" s="128"/>
      <c r="N125" s="124"/>
      <c r="O125" s="111"/>
      <c r="P125" s="111"/>
      <c r="Q125" s="124"/>
      <c r="R125" s="111"/>
      <c r="S125" s="124"/>
      <c r="T125" s="111"/>
      <c r="U125" s="26"/>
      <c r="V125" s="26"/>
      <c r="W125" s="26"/>
      <c r="X125" s="26"/>
      <c r="Y125" s="26"/>
      <c r="Z125" s="26"/>
      <c r="AA125" s="26"/>
      <c r="AB125" s="26"/>
      <c r="AC125" s="26"/>
      <c r="AD125" s="336"/>
      <c r="AE125" s="26"/>
      <c r="AF125" s="336"/>
      <c r="AG125" s="336"/>
      <c r="AH125" s="336"/>
      <c r="AI125" s="336"/>
      <c r="AJ125" s="336"/>
      <c r="AK125" s="33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7"/>
      <c r="AX125" s="26"/>
      <c r="AY125" s="26"/>
      <c r="AZ125" s="157"/>
      <c r="BA125" s="43"/>
      <c r="BB125" s="157"/>
      <c r="BC125" s="43"/>
      <c r="BD125" s="26"/>
      <c r="BE125" s="35"/>
      <c r="BF125" s="35"/>
      <c r="BG125" s="35"/>
      <c r="BH125" s="26"/>
      <c r="BI125" s="35"/>
      <c r="BJ125" s="35"/>
      <c r="BK125" s="35"/>
      <c r="BL125" s="26"/>
      <c r="BM125" s="26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</row>
    <row r="126" spans="1:84" s="2" customFormat="1" x14ac:dyDescent="0.3">
      <c r="A126" s="111"/>
      <c r="B126" s="117"/>
      <c r="C126" s="128"/>
      <c r="D126" s="111"/>
      <c r="E126" s="128"/>
      <c r="F126" s="128"/>
      <c r="G126" s="128"/>
      <c r="H126" s="128"/>
      <c r="I126" s="128"/>
      <c r="J126" s="128"/>
      <c r="K126" s="128"/>
      <c r="L126" s="128"/>
      <c r="M126" s="128"/>
      <c r="N126" s="124"/>
      <c r="O126" s="111"/>
      <c r="P126" s="111"/>
      <c r="Q126" s="124"/>
      <c r="R126" s="111"/>
      <c r="S126" s="124"/>
      <c r="T126" s="111"/>
      <c r="U126" s="26"/>
      <c r="V126" s="26"/>
      <c r="W126" s="26"/>
      <c r="X126" s="26"/>
      <c r="Y126" s="26"/>
      <c r="Z126" s="26"/>
      <c r="AA126" s="26"/>
      <c r="AB126" s="26"/>
      <c r="AC126" s="26"/>
      <c r="AD126" s="336"/>
      <c r="AE126" s="26"/>
      <c r="AF126" s="336"/>
      <c r="AG126" s="336"/>
      <c r="AH126" s="336"/>
      <c r="AI126" s="336"/>
      <c r="AJ126" s="336"/>
      <c r="AK126" s="33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7"/>
      <c r="AX126" s="26"/>
      <c r="AY126" s="26"/>
      <c r="AZ126" s="157"/>
      <c r="BA126" s="43"/>
      <c r="BB126" s="157"/>
      <c r="BC126" s="43"/>
      <c r="BD126" s="26"/>
      <c r="BE126" s="35"/>
      <c r="BF126" s="35"/>
      <c r="BG126" s="35"/>
      <c r="BH126" s="26"/>
      <c r="BI126" s="35"/>
      <c r="BJ126" s="35"/>
      <c r="BK126" s="35"/>
      <c r="BL126" s="26"/>
      <c r="BM126" s="26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</row>
    <row r="127" spans="1:84" s="2" customFormat="1" x14ac:dyDescent="0.3">
      <c r="A127" s="111"/>
      <c r="B127" s="117"/>
      <c r="C127" s="128"/>
      <c r="D127" s="111"/>
      <c r="E127" s="128"/>
      <c r="F127" s="128"/>
      <c r="G127" s="128"/>
      <c r="H127" s="128"/>
      <c r="I127" s="128"/>
      <c r="J127" s="128"/>
      <c r="K127" s="128"/>
      <c r="L127" s="128"/>
      <c r="M127" s="128"/>
      <c r="N127" s="124"/>
      <c r="O127" s="111"/>
      <c r="P127" s="111"/>
      <c r="Q127" s="124"/>
      <c r="R127" s="111"/>
      <c r="S127" s="124"/>
      <c r="T127" s="111"/>
      <c r="U127" s="26"/>
      <c r="V127" s="26"/>
      <c r="W127" s="26"/>
      <c r="X127" s="26"/>
      <c r="Y127" s="26"/>
      <c r="Z127" s="26"/>
      <c r="AA127" s="26"/>
      <c r="AB127" s="26"/>
      <c r="AC127" s="26"/>
      <c r="AD127" s="336"/>
      <c r="AE127" s="26"/>
      <c r="AF127" s="336"/>
      <c r="AG127" s="336"/>
      <c r="AH127" s="336"/>
      <c r="AI127" s="336"/>
      <c r="AJ127" s="336"/>
      <c r="AK127" s="33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7"/>
      <c r="AX127" s="26"/>
      <c r="AY127" s="26"/>
      <c r="AZ127" s="157"/>
      <c r="BA127" s="43"/>
      <c r="BB127" s="157"/>
      <c r="BC127" s="43"/>
      <c r="BD127" s="26"/>
      <c r="BE127" s="35"/>
      <c r="BF127" s="35"/>
      <c r="BG127" s="35"/>
      <c r="BH127" s="26"/>
      <c r="BI127" s="35"/>
      <c r="BJ127" s="35"/>
      <c r="BK127" s="35"/>
      <c r="BL127" s="26"/>
      <c r="BM127" s="26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</row>
    <row r="128" spans="1:84" s="2" customFormat="1" x14ac:dyDescent="0.3">
      <c r="A128" s="111"/>
      <c r="B128" s="117"/>
      <c r="C128" s="128"/>
      <c r="D128" s="111"/>
      <c r="E128" s="128"/>
      <c r="F128" s="128"/>
      <c r="G128" s="128"/>
      <c r="H128" s="128"/>
      <c r="I128" s="128"/>
      <c r="J128" s="128"/>
      <c r="K128" s="128"/>
      <c r="L128" s="128"/>
      <c r="M128" s="128"/>
      <c r="N128" s="124"/>
      <c r="O128" s="111"/>
      <c r="P128" s="111"/>
      <c r="Q128" s="124"/>
      <c r="R128" s="111"/>
      <c r="S128" s="124"/>
      <c r="T128" s="111"/>
      <c r="U128" s="26"/>
      <c r="V128" s="26"/>
      <c r="W128" s="26"/>
      <c r="X128" s="26"/>
      <c r="Y128" s="26"/>
      <c r="Z128" s="26"/>
      <c r="AA128" s="26"/>
      <c r="AB128" s="26"/>
      <c r="AC128" s="26"/>
      <c r="AD128" s="336"/>
      <c r="AE128" s="26"/>
      <c r="AF128" s="336"/>
      <c r="AG128" s="336"/>
      <c r="AH128" s="336"/>
      <c r="AI128" s="336"/>
      <c r="AJ128" s="336"/>
      <c r="AK128" s="33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7"/>
      <c r="AX128" s="26"/>
      <c r="AY128" s="26"/>
      <c r="AZ128" s="157"/>
      <c r="BA128" s="43"/>
      <c r="BB128" s="157"/>
      <c r="BC128" s="43"/>
      <c r="BD128" s="26"/>
      <c r="BE128" s="35"/>
      <c r="BF128" s="35"/>
      <c r="BG128" s="35"/>
      <c r="BH128" s="26"/>
      <c r="BI128" s="35"/>
      <c r="BJ128" s="35"/>
      <c r="BK128" s="35"/>
      <c r="BL128" s="26"/>
      <c r="BM128" s="26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</row>
    <row r="129" spans="1:84" s="2" customFormat="1" x14ac:dyDescent="0.3">
      <c r="A129" s="111"/>
      <c r="B129" s="117"/>
      <c r="C129" s="128"/>
      <c r="D129" s="111"/>
      <c r="E129" s="128"/>
      <c r="F129" s="128"/>
      <c r="G129" s="128"/>
      <c r="H129" s="128"/>
      <c r="I129" s="128"/>
      <c r="J129" s="128"/>
      <c r="K129" s="128"/>
      <c r="L129" s="128"/>
      <c r="M129" s="128"/>
      <c r="N129" s="124"/>
      <c r="O129" s="125"/>
      <c r="P129" s="125"/>
      <c r="Q129" s="124"/>
      <c r="R129" s="125"/>
      <c r="S129" s="124"/>
      <c r="T129" s="125"/>
      <c r="U129" s="26"/>
      <c r="V129" s="26"/>
      <c r="W129" s="26"/>
      <c r="X129" s="26"/>
      <c r="Y129" s="26"/>
      <c r="Z129" s="26"/>
      <c r="AA129" s="26"/>
      <c r="AB129" s="26"/>
      <c r="AC129" s="26"/>
      <c r="AD129" s="336"/>
      <c r="AE129" s="337"/>
      <c r="AF129" s="336"/>
      <c r="AG129" s="336"/>
      <c r="AH129" s="336"/>
      <c r="AI129" s="336"/>
      <c r="AJ129" s="336"/>
      <c r="AK129" s="33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7"/>
      <c r="AX129" s="26"/>
      <c r="AY129" s="26"/>
      <c r="AZ129" s="157"/>
      <c r="BA129" s="43"/>
      <c r="BB129" s="157"/>
      <c r="BC129" s="43"/>
      <c r="BD129" s="26"/>
      <c r="BE129" s="35"/>
      <c r="BF129" s="35"/>
      <c r="BG129" s="35"/>
      <c r="BH129" s="26"/>
      <c r="BI129" s="35"/>
      <c r="BJ129" s="35"/>
      <c r="BK129" s="35"/>
      <c r="BL129" s="26"/>
      <c r="BM129" s="26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</row>
    <row r="130" spans="1:84" s="2" customFormat="1" x14ac:dyDescent="0.3">
      <c r="A130" s="111"/>
      <c r="B130" s="117"/>
      <c r="C130" s="128"/>
      <c r="D130" s="111"/>
      <c r="E130" s="128"/>
      <c r="F130" s="128"/>
      <c r="G130" s="128"/>
      <c r="H130" s="128"/>
      <c r="I130" s="128"/>
      <c r="J130" s="128"/>
      <c r="K130" s="128"/>
      <c r="L130" s="128"/>
      <c r="M130" s="128"/>
      <c r="N130" s="124"/>
      <c r="O130" s="124"/>
      <c r="P130" s="124"/>
      <c r="Q130" s="124"/>
      <c r="R130" s="124"/>
      <c r="S130" s="124"/>
      <c r="T130" s="124"/>
      <c r="U130" s="26"/>
      <c r="V130" s="26"/>
      <c r="W130" s="26"/>
      <c r="X130" s="26"/>
      <c r="Y130" s="26"/>
      <c r="Z130" s="26"/>
      <c r="AA130" s="26"/>
      <c r="AB130" s="26"/>
      <c r="AC130" s="26"/>
      <c r="AD130" s="336"/>
      <c r="AE130" s="336"/>
      <c r="AF130" s="336"/>
      <c r="AG130" s="336"/>
      <c r="AH130" s="336"/>
      <c r="AI130" s="336"/>
      <c r="AJ130" s="336"/>
      <c r="AK130" s="33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7"/>
      <c r="AX130" s="26"/>
      <c r="AY130" s="26"/>
      <c r="AZ130" s="157"/>
      <c r="BA130" s="43"/>
      <c r="BB130" s="157"/>
      <c r="BC130" s="43"/>
      <c r="BD130" s="26"/>
      <c r="BE130" s="35"/>
      <c r="BF130" s="35"/>
      <c r="BG130" s="35"/>
      <c r="BH130" s="26"/>
      <c r="BI130" s="35"/>
      <c r="BJ130" s="35"/>
      <c r="BK130" s="35"/>
      <c r="BL130" s="26"/>
      <c r="BM130" s="26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</row>
    <row r="131" spans="1:84" s="2" customFormat="1" x14ac:dyDescent="0.3">
      <c r="A131" s="111"/>
      <c r="B131" s="117"/>
      <c r="C131" s="128"/>
      <c r="D131" s="111"/>
      <c r="E131" s="128"/>
      <c r="F131" s="128"/>
      <c r="G131" s="128"/>
      <c r="H131" s="128"/>
      <c r="I131" s="128"/>
      <c r="J131" s="128"/>
      <c r="K131" s="128"/>
      <c r="L131" s="128"/>
      <c r="M131" s="128"/>
      <c r="N131" s="124"/>
      <c r="O131" s="124"/>
      <c r="P131" s="124"/>
      <c r="Q131" s="124"/>
      <c r="R131" s="124"/>
      <c r="S131" s="124"/>
      <c r="T131" s="124"/>
      <c r="U131" s="26"/>
      <c r="V131" s="26"/>
      <c r="W131" s="26"/>
      <c r="X131" s="26"/>
      <c r="Y131" s="26"/>
      <c r="Z131" s="26"/>
      <c r="AA131" s="26"/>
      <c r="AB131" s="26"/>
      <c r="AC131" s="26"/>
      <c r="AD131" s="336"/>
      <c r="AE131" s="336"/>
      <c r="AF131" s="336"/>
      <c r="AG131" s="336"/>
      <c r="AH131" s="336"/>
      <c r="AI131" s="336"/>
      <c r="AJ131" s="336"/>
      <c r="AK131" s="33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7"/>
      <c r="AX131" s="26"/>
      <c r="AY131" s="26"/>
      <c r="AZ131" s="157"/>
      <c r="BA131" s="43"/>
      <c r="BB131" s="157"/>
      <c r="BC131" s="43"/>
      <c r="BD131" s="26"/>
      <c r="BE131" s="35"/>
      <c r="BF131" s="35"/>
      <c r="BG131" s="35"/>
      <c r="BH131" s="26"/>
      <c r="BI131" s="35"/>
      <c r="BJ131" s="35"/>
      <c r="BK131" s="35"/>
      <c r="BL131" s="26"/>
      <c r="BM131" s="26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</row>
    <row r="132" spans="1:84" s="2" customFormat="1" x14ac:dyDescent="0.3">
      <c r="A132" s="111"/>
      <c r="B132" s="117"/>
      <c r="C132" s="128"/>
      <c r="D132" s="111"/>
      <c r="E132" s="128"/>
      <c r="F132" s="128"/>
      <c r="G132" s="128"/>
      <c r="H132" s="128"/>
      <c r="I132" s="128"/>
      <c r="J132" s="128"/>
      <c r="K132" s="128"/>
      <c r="L132" s="128"/>
      <c r="M132" s="128"/>
      <c r="N132" s="124"/>
      <c r="O132" s="124"/>
      <c r="P132" s="124"/>
      <c r="Q132" s="124"/>
      <c r="R132" s="124"/>
      <c r="S132" s="124"/>
      <c r="T132" s="124"/>
      <c r="U132" s="26"/>
      <c r="V132" s="26"/>
      <c r="W132" s="26"/>
      <c r="X132" s="26"/>
      <c r="Y132" s="26"/>
      <c r="Z132" s="26"/>
      <c r="AA132" s="26"/>
      <c r="AB132" s="26"/>
      <c r="AC132" s="26"/>
      <c r="AD132" s="336"/>
      <c r="AE132" s="336"/>
      <c r="AF132" s="336"/>
      <c r="AG132" s="336"/>
      <c r="AH132" s="336"/>
      <c r="AI132" s="336"/>
      <c r="AJ132" s="336"/>
      <c r="AK132" s="33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7"/>
      <c r="AX132" s="26"/>
      <c r="AY132" s="26"/>
      <c r="AZ132" s="157"/>
      <c r="BA132" s="43"/>
      <c r="BB132" s="157"/>
      <c r="BC132" s="43"/>
      <c r="BD132" s="26"/>
      <c r="BE132" s="35"/>
      <c r="BF132" s="35"/>
      <c r="BG132" s="35"/>
      <c r="BH132" s="26"/>
      <c r="BI132" s="35"/>
      <c r="BJ132" s="35"/>
      <c r="BK132" s="35"/>
      <c r="BL132" s="26"/>
      <c r="BM132" s="26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</row>
    <row r="133" spans="1:84" s="2" customFormat="1" x14ac:dyDescent="0.3">
      <c r="A133" s="111"/>
      <c r="B133" s="117"/>
      <c r="C133" s="128"/>
      <c r="D133" s="111"/>
      <c r="E133" s="128"/>
      <c r="F133" s="128"/>
      <c r="G133" s="128"/>
      <c r="H133" s="128"/>
      <c r="I133" s="128"/>
      <c r="J133" s="128"/>
      <c r="K133" s="128"/>
      <c r="L133" s="128"/>
      <c r="M133" s="128"/>
      <c r="N133" s="124"/>
      <c r="O133" s="124"/>
      <c r="P133" s="124"/>
      <c r="Q133" s="124"/>
      <c r="R133" s="124"/>
      <c r="S133" s="124"/>
      <c r="T133" s="124"/>
      <c r="U133" s="26"/>
      <c r="V133" s="26"/>
      <c r="W133" s="26"/>
      <c r="X133" s="26"/>
      <c r="Y133" s="26"/>
      <c r="Z133" s="26"/>
      <c r="AA133" s="26"/>
      <c r="AB133" s="26"/>
      <c r="AC133" s="26"/>
      <c r="AD133" s="336"/>
      <c r="AE133" s="336"/>
      <c r="AF133" s="336"/>
      <c r="AG133" s="336"/>
      <c r="AH133" s="336"/>
      <c r="AI133" s="336"/>
      <c r="AJ133" s="336"/>
      <c r="AK133" s="33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7"/>
      <c r="AX133" s="26"/>
      <c r="AY133" s="26"/>
      <c r="AZ133" s="157"/>
      <c r="BA133" s="43"/>
      <c r="BB133" s="157"/>
      <c r="BC133" s="43"/>
      <c r="BD133" s="26"/>
      <c r="BE133" s="35"/>
      <c r="BF133" s="35"/>
      <c r="BG133" s="35"/>
      <c r="BH133" s="26"/>
      <c r="BI133" s="35"/>
      <c r="BJ133" s="35"/>
      <c r="BK133" s="35"/>
      <c r="BL133" s="26"/>
      <c r="BM133" s="26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</row>
    <row r="134" spans="1:84" s="2" customFormat="1" x14ac:dyDescent="0.3">
      <c r="A134" s="111"/>
      <c r="B134" s="117"/>
      <c r="C134" s="128"/>
      <c r="D134" s="111"/>
      <c r="E134" s="128"/>
      <c r="F134" s="128"/>
      <c r="G134" s="128"/>
      <c r="H134" s="128"/>
      <c r="I134" s="128"/>
      <c r="J134" s="128"/>
      <c r="K134" s="128"/>
      <c r="L134" s="128"/>
      <c r="M134" s="128"/>
      <c r="N134" s="124"/>
      <c r="O134" s="124"/>
      <c r="P134" s="124"/>
      <c r="Q134" s="124"/>
      <c r="R134" s="124"/>
      <c r="S134" s="124"/>
      <c r="T134" s="124"/>
      <c r="U134" s="26"/>
      <c r="V134" s="26"/>
      <c r="W134" s="26"/>
      <c r="X134" s="26"/>
      <c r="Y134" s="26"/>
      <c r="Z134" s="26"/>
      <c r="AA134" s="26"/>
      <c r="AB134" s="26"/>
      <c r="AC134" s="26"/>
      <c r="AD134" s="336"/>
      <c r="AE134" s="336"/>
      <c r="AF134" s="336"/>
      <c r="AG134" s="336"/>
      <c r="AH134" s="336"/>
      <c r="AI134" s="336"/>
      <c r="AJ134" s="336"/>
      <c r="AK134" s="33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7"/>
      <c r="AX134" s="26"/>
      <c r="AY134" s="26"/>
      <c r="AZ134" s="157"/>
      <c r="BA134" s="43"/>
      <c r="BB134" s="157"/>
      <c r="BC134" s="43"/>
      <c r="BD134" s="26"/>
      <c r="BE134" s="35"/>
      <c r="BF134" s="35"/>
      <c r="BG134" s="35"/>
      <c r="BH134" s="26"/>
      <c r="BI134" s="35"/>
      <c r="BJ134" s="35"/>
      <c r="BK134" s="35"/>
      <c r="BL134" s="26"/>
      <c r="BM134" s="26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</row>
    <row r="135" spans="1:84" s="2" customFormat="1" x14ac:dyDescent="0.3">
      <c r="A135" s="111"/>
      <c r="B135" s="117"/>
      <c r="C135" s="128"/>
      <c r="D135" s="111"/>
      <c r="E135" s="128"/>
      <c r="F135" s="128"/>
      <c r="G135" s="128"/>
      <c r="H135" s="128"/>
      <c r="I135" s="128"/>
      <c r="J135" s="128"/>
      <c r="K135" s="128"/>
      <c r="L135" s="128"/>
      <c r="M135" s="128"/>
      <c r="N135" s="124"/>
      <c r="O135" s="124"/>
      <c r="P135" s="124"/>
      <c r="Q135" s="124"/>
      <c r="R135" s="124"/>
      <c r="S135" s="124"/>
      <c r="T135" s="124"/>
      <c r="U135" s="26"/>
      <c r="V135" s="26"/>
      <c r="W135" s="26"/>
      <c r="X135" s="26"/>
      <c r="Y135" s="26"/>
      <c r="Z135" s="26"/>
      <c r="AA135" s="26"/>
      <c r="AB135" s="26"/>
      <c r="AC135" s="26"/>
      <c r="AD135" s="336"/>
      <c r="AE135" s="336"/>
      <c r="AF135" s="336"/>
      <c r="AG135" s="336"/>
      <c r="AH135" s="336"/>
      <c r="AI135" s="336"/>
      <c r="AJ135" s="336"/>
      <c r="AK135" s="33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7"/>
      <c r="AX135" s="26"/>
      <c r="AY135" s="26"/>
      <c r="AZ135" s="157"/>
      <c r="BA135" s="43"/>
      <c r="BB135" s="157"/>
      <c r="BC135" s="43"/>
      <c r="BD135" s="26"/>
      <c r="BE135" s="35"/>
      <c r="BF135" s="35"/>
      <c r="BG135" s="35"/>
      <c r="BH135" s="26"/>
      <c r="BI135" s="35"/>
      <c r="BJ135" s="35"/>
      <c r="BK135" s="35"/>
      <c r="BL135" s="26"/>
      <c r="BM135" s="26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</row>
    <row r="136" spans="1:84" s="2" customFormat="1" x14ac:dyDescent="0.3">
      <c r="A136" s="111"/>
      <c r="B136" s="117"/>
      <c r="C136" s="128"/>
      <c r="D136" s="111"/>
      <c r="E136" s="128"/>
      <c r="F136" s="128"/>
      <c r="G136" s="128"/>
      <c r="H136" s="128"/>
      <c r="I136" s="128"/>
      <c r="J136" s="128"/>
      <c r="K136" s="128"/>
      <c r="L136" s="128"/>
      <c r="M136" s="128"/>
      <c r="N136" s="124"/>
      <c r="O136" s="124"/>
      <c r="P136" s="124"/>
      <c r="Q136" s="124"/>
      <c r="R136" s="124"/>
      <c r="S136" s="124"/>
      <c r="T136" s="124"/>
      <c r="U136" s="26"/>
      <c r="V136" s="26"/>
      <c r="W136" s="26"/>
      <c r="X136" s="26"/>
      <c r="Y136" s="26"/>
      <c r="Z136" s="26"/>
      <c r="AA136" s="26"/>
      <c r="AB136" s="26"/>
      <c r="AC136" s="26"/>
      <c r="AD136" s="336"/>
      <c r="AE136" s="336"/>
      <c r="AF136" s="336"/>
      <c r="AG136" s="336"/>
      <c r="AH136" s="336"/>
      <c r="AI136" s="336"/>
      <c r="AJ136" s="336"/>
      <c r="AK136" s="33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7"/>
      <c r="AX136" s="26"/>
      <c r="AY136" s="26"/>
      <c r="AZ136" s="157"/>
      <c r="BA136" s="43"/>
      <c r="BB136" s="157"/>
      <c r="BC136" s="43"/>
      <c r="BD136" s="26"/>
      <c r="BE136" s="35"/>
      <c r="BF136" s="35"/>
      <c r="BG136" s="35"/>
      <c r="BH136" s="26"/>
      <c r="BI136" s="35"/>
      <c r="BJ136" s="35"/>
      <c r="BK136" s="35"/>
      <c r="BL136" s="26"/>
      <c r="BM136" s="26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</row>
    <row r="137" spans="1:84" s="2" customFormat="1" x14ac:dyDescent="0.3">
      <c r="A137" s="111"/>
      <c r="B137" s="117"/>
      <c r="C137" s="128"/>
      <c r="D137" s="111"/>
      <c r="E137" s="128"/>
      <c r="F137" s="128"/>
      <c r="G137" s="128"/>
      <c r="H137" s="128"/>
      <c r="I137" s="128"/>
      <c r="J137" s="128"/>
      <c r="K137" s="128"/>
      <c r="L137" s="128"/>
      <c r="M137" s="128"/>
      <c r="N137" s="124"/>
      <c r="O137" s="124"/>
      <c r="P137" s="124"/>
      <c r="Q137" s="124"/>
      <c r="R137" s="124"/>
      <c r="S137" s="124"/>
      <c r="T137" s="124"/>
      <c r="U137" s="26"/>
      <c r="V137" s="26"/>
      <c r="W137" s="26"/>
      <c r="X137" s="26"/>
      <c r="Y137" s="26"/>
      <c r="Z137" s="26"/>
      <c r="AA137" s="26"/>
      <c r="AB137" s="26"/>
      <c r="AC137" s="26"/>
      <c r="AD137" s="336"/>
      <c r="AE137" s="336"/>
      <c r="AF137" s="336"/>
      <c r="AG137" s="336"/>
      <c r="AH137" s="336"/>
      <c r="AI137" s="336"/>
      <c r="AJ137" s="336"/>
      <c r="AK137" s="33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7"/>
      <c r="AX137" s="26"/>
      <c r="AY137" s="26"/>
      <c r="AZ137" s="157"/>
      <c r="BA137" s="43"/>
      <c r="BB137" s="157"/>
      <c r="BC137" s="43"/>
      <c r="BD137" s="26"/>
      <c r="BE137" s="35"/>
      <c r="BF137" s="35"/>
      <c r="BG137" s="35"/>
      <c r="BH137" s="26"/>
      <c r="BI137" s="35"/>
      <c r="BJ137" s="35"/>
      <c r="BK137" s="35"/>
      <c r="BL137" s="26"/>
      <c r="BM137" s="26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</row>
    <row r="138" spans="1:84" s="2" customFormat="1" x14ac:dyDescent="0.3">
      <c r="A138" s="111"/>
      <c r="B138" s="117"/>
      <c r="C138" s="128"/>
      <c r="D138" s="111"/>
      <c r="E138" s="128"/>
      <c r="F138" s="128"/>
      <c r="G138" s="128"/>
      <c r="H138" s="128"/>
      <c r="I138" s="128"/>
      <c r="J138" s="128"/>
      <c r="K138" s="128"/>
      <c r="L138" s="128"/>
      <c r="M138" s="128"/>
      <c r="N138" s="124"/>
      <c r="O138" s="124"/>
      <c r="P138" s="124"/>
      <c r="Q138" s="124"/>
      <c r="R138" s="124"/>
      <c r="S138" s="124"/>
      <c r="T138" s="124"/>
      <c r="U138" s="26"/>
      <c r="V138" s="26"/>
      <c r="W138" s="26"/>
      <c r="X138" s="26"/>
      <c r="Y138" s="26"/>
      <c r="Z138" s="26"/>
      <c r="AA138" s="26"/>
      <c r="AB138" s="26"/>
      <c r="AC138" s="26"/>
      <c r="AD138" s="336"/>
      <c r="AE138" s="336"/>
      <c r="AF138" s="336"/>
      <c r="AG138" s="336"/>
      <c r="AH138" s="336"/>
      <c r="AI138" s="336"/>
      <c r="AJ138" s="336"/>
      <c r="AK138" s="33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7"/>
      <c r="AX138" s="26"/>
      <c r="AY138" s="26"/>
      <c r="AZ138" s="157"/>
      <c r="BA138" s="43"/>
      <c r="BB138" s="157"/>
      <c r="BC138" s="43"/>
      <c r="BD138" s="26"/>
      <c r="BE138" s="35"/>
      <c r="BF138" s="35"/>
      <c r="BG138" s="35"/>
      <c r="BH138" s="26"/>
      <c r="BI138" s="35"/>
      <c r="BJ138" s="35"/>
      <c r="BK138" s="35"/>
      <c r="BL138" s="26"/>
      <c r="BM138" s="26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/>
    </row>
    <row r="139" spans="1:84" s="2" customFormat="1" x14ac:dyDescent="0.3">
      <c r="A139" s="111"/>
      <c r="B139" s="117"/>
      <c r="C139" s="128"/>
      <c r="D139" s="111"/>
      <c r="E139" s="128"/>
      <c r="F139" s="128"/>
      <c r="G139" s="128"/>
      <c r="H139" s="128"/>
      <c r="I139" s="128"/>
      <c r="J139" s="128"/>
      <c r="K139" s="128"/>
      <c r="L139" s="128"/>
      <c r="M139" s="128"/>
      <c r="N139" s="124"/>
      <c r="O139" s="124"/>
      <c r="P139" s="124"/>
      <c r="Q139" s="124"/>
      <c r="R139" s="124"/>
      <c r="S139" s="124"/>
      <c r="T139" s="124"/>
      <c r="U139" s="26"/>
      <c r="V139" s="26"/>
      <c r="W139" s="26"/>
      <c r="X139" s="26"/>
      <c r="Y139" s="26"/>
      <c r="Z139" s="26"/>
      <c r="AA139" s="26"/>
      <c r="AB139" s="26"/>
      <c r="AC139" s="26"/>
      <c r="AD139" s="336"/>
      <c r="AE139" s="336"/>
      <c r="AF139" s="336"/>
      <c r="AG139" s="336"/>
      <c r="AH139" s="336"/>
      <c r="AI139" s="336"/>
      <c r="AJ139" s="336"/>
      <c r="AK139" s="33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7"/>
      <c r="AX139" s="26"/>
      <c r="AY139" s="26"/>
      <c r="AZ139" s="157"/>
      <c r="BA139" s="43"/>
      <c r="BB139" s="157"/>
      <c r="BC139" s="43"/>
      <c r="BD139" s="26"/>
      <c r="BE139" s="35"/>
      <c r="BF139" s="35"/>
      <c r="BG139" s="35"/>
      <c r="BH139" s="26"/>
      <c r="BI139" s="35"/>
      <c r="BJ139" s="35"/>
      <c r="BK139" s="35"/>
      <c r="BL139" s="26"/>
      <c r="BM139" s="26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  <c r="CF139" s="111"/>
    </row>
    <row r="140" spans="1:84" s="2" customFormat="1" x14ac:dyDescent="0.3">
      <c r="A140" s="111"/>
      <c r="B140" s="117"/>
      <c r="C140" s="128"/>
      <c r="D140" s="111"/>
      <c r="E140" s="128"/>
      <c r="F140" s="128"/>
      <c r="G140" s="128"/>
      <c r="H140" s="128"/>
      <c r="I140" s="128"/>
      <c r="J140" s="128"/>
      <c r="K140" s="128"/>
      <c r="L140" s="128"/>
      <c r="M140" s="128"/>
      <c r="N140" s="124"/>
      <c r="O140" s="124"/>
      <c r="P140" s="124"/>
      <c r="Q140" s="124"/>
      <c r="R140" s="124"/>
      <c r="S140" s="124"/>
      <c r="T140" s="124"/>
      <c r="U140" s="26"/>
      <c r="V140" s="26"/>
      <c r="W140" s="26"/>
      <c r="X140" s="26"/>
      <c r="Y140" s="26"/>
      <c r="Z140" s="26"/>
      <c r="AA140" s="26"/>
      <c r="AB140" s="26"/>
      <c r="AC140" s="26"/>
      <c r="AD140" s="336"/>
      <c r="AE140" s="336"/>
      <c r="AF140" s="336"/>
      <c r="AG140" s="336"/>
      <c r="AH140" s="336"/>
      <c r="AI140" s="336"/>
      <c r="AJ140" s="336"/>
      <c r="AK140" s="33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7"/>
      <c r="AX140" s="26"/>
      <c r="AY140" s="26"/>
      <c r="AZ140" s="157"/>
      <c r="BA140" s="43"/>
      <c r="BB140" s="157"/>
      <c r="BC140" s="43"/>
      <c r="BD140" s="26"/>
      <c r="BE140" s="35"/>
      <c r="BF140" s="35"/>
      <c r="BG140" s="35"/>
      <c r="BH140" s="26"/>
      <c r="BI140" s="35"/>
      <c r="BJ140" s="35"/>
      <c r="BK140" s="35"/>
      <c r="BL140" s="26"/>
      <c r="BM140" s="26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/>
      <c r="CF140" s="111"/>
    </row>
    <row r="141" spans="1:84" s="2" customFormat="1" x14ac:dyDescent="0.3">
      <c r="A141" s="111"/>
      <c r="B141" s="117"/>
      <c r="C141" s="128"/>
      <c r="D141" s="111"/>
      <c r="E141" s="128"/>
      <c r="F141" s="128"/>
      <c r="G141" s="128"/>
      <c r="H141" s="128"/>
      <c r="I141" s="128"/>
      <c r="J141" s="128"/>
      <c r="K141" s="128"/>
      <c r="L141" s="128"/>
      <c r="M141" s="128"/>
      <c r="N141" s="124"/>
      <c r="O141" s="124"/>
      <c r="P141" s="124"/>
      <c r="Q141" s="124"/>
      <c r="R141" s="124"/>
      <c r="S141" s="124"/>
      <c r="T141" s="124"/>
      <c r="U141" s="26"/>
      <c r="V141" s="26"/>
      <c r="W141" s="26"/>
      <c r="X141" s="26"/>
      <c r="Y141" s="26"/>
      <c r="Z141" s="26"/>
      <c r="AA141" s="26"/>
      <c r="AB141" s="26"/>
      <c r="AC141" s="26"/>
      <c r="AD141" s="336"/>
      <c r="AE141" s="336"/>
      <c r="AF141" s="336"/>
      <c r="AG141" s="336"/>
      <c r="AH141" s="336"/>
      <c r="AI141" s="336"/>
      <c r="AJ141" s="336"/>
      <c r="AK141" s="33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7"/>
      <c r="AX141" s="26"/>
      <c r="AY141" s="26"/>
      <c r="AZ141" s="157"/>
      <c r="BA141" s="43"/>
      <c r="BB141" s="157"/>
      <c r="BC141" s="43"/>
      <c r="BD141" s="26"/>
      <c r="BE141" s="35"/>
      <c r="BF141" s="35"/>
      <c r="BG141" s="35"/>
      <c r="BH141" s="26"/>
      <c r="BI141" s="35"/>
      <c r="BJ141" s="35"/>
      <c r="BK141" s="35"/>
      <c r="BL141" s="26"/>
      <c r="BM141" s="26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/>
      <c r="CF141" s="111"/>
    </row>
    <row r="142" spans="1:84" s="2" customFormat="1" x14ac:dyDescent="0.3">
      <c r="A142" s="111"/>
      <c r="B142" s="117"/>
      <c r="C142" s="128"/>
      <c r="D142" s="111"/>
      <c r="E142" s="128"/>
      <c r="F142" s="128"/>
      <c r="G142" s="128"/>
      <c r="H142" s="128"/>
      <c r="I142" s="128"/>
      <c r="J142" s="128"/>
      <c r="K142" s="128"/>
      <c r="L142" s="128"/>
      <c r="M142" s="128"/>
      <c r="N142" s="124"/>
      <c r="O142" s="124"/>
      <c r="P142" s="124"/>
      <c r="Q142" s="124"/>
      <c r="R142" s="124"/>
      <c r="S142" s="124"/>
      <c r="T142" s="124"/>
      <c r="U142" s="26"/>
      <c r="V142" s="26"/>
      <c r="W142" s="26"/>
      <c r="X142" s="26"/>
      <c r="Y142" s="26"/>
      <c r="Z142" s="26"/>
      <c r="AA142" s="26"/>
      <c r="AB142" s="26"/>
      <c r="AC142" s="26"/>
      <c r="AD142" s="336"/>
      <c r="AE142" s="336"/>
      <c r="AF142" s="336"/>
      <c r="AG142" s="336"/>
      <c r="AH142" s="336"/>
      <c r="AI142" s="336"/>
      <c r="AJ142" s="336"/>
      <c r="AK142" s="33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7"/>
      <c r="AX142" s="26"/>
      <c r="AY142" s="26"/>
      <c r="AZ142" s="157"/>
      <c r="BA142" s="43"/>
      <c r="BB142" s="157"/>
      <c r="BC142" s="43"/>
      <c r="BD142" s="26"/>
      <c r="BE142" s="35"/>
      <c r="BF142" s="35"/>
      <c r="BG142" s="35"/>
      <c r="BH142" s="26"/>
      <c r="BI142" s="35"/>
      <c r="BJ142" s="35"/>
      <c r="BK142" s="35"/>
      <c r="BL142" s="26"/>
      <c r="BM142" s="26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  <c r="BY142" s="111"/>
      <c r="BZ142" s="111"/>
      <c r="CA142" s="111"/>
      <c r="CB142" s="111"/>
      <c r="CC142" s="111"/>
      <c r="CD142" s="111"/>
      <c r="CE142" s="111"/>
      <c r="CF142" s="111"/>
    </row>
    <row r="143" spans="1:84" s="2" customFormat="1" x14ac:dyDescent="0.3">
      <c r="A143" s="111"/>
      <c r="B143" s="117"/>
      <c r="C143" s="128"/>
      <c r="D143" s="111"/>
      <c r="E143" s="128"/>
      <c r="F143" s="128"/>
      <c r="G143" s="128"/>
      <c r="H143" s="128"/>
      <c r="I143" s="128"/>
      <c r="J143" s="128"/>
      <c r="K143" s="128"/>
      <c r="L143" s="128"/>
      <c r="M143" s="128"/>
      <c r="N143" s="124"/>
      <c r="O143" s="124"/>
      <c r="P143" s="124"/>
      <c r="Q143" s="124"/>
      <c r="R143" s="124"/>
      <c r="S143" s="124"/>
      <c r="T143" s="124"/>
      <c r="U143" s="26"/>
      <c r="V143" s="26"/>
      <c r="W143" s="26"/>
      <c r="X143" s="26"/>
      <c r="Y143" s="26"/>
      <c r="Z143" s="26"/>
      <c r="AA143" s="26"/>
      <c r="AB143" s="26"/>
      <c r="AC143" s="26"/>
      <c r="AD143" s="336"/>
      <c r="AE143" s="336"/>
      <c r="AF143" s="336"/>
      <c r="AG143" s="336"/>
      <c r="AH143" s="336"/>
      <c r="AI143" s="336"/>
      <c r="AJ143" s="336"/>
      <c r="AK143" s="33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7"/>
      <c r="AX143" s="26"/>
      <c r="AY143" s="26"/>
      <c r="AZ143" s="157"/>
      <c r="BA143" s="43"/>
      <c r="BB143" s="157"/>
      <c r="BC143" s="43"/>
      <c r="BD143" s="26"/>
      <c r="BE143" s="35"/>
      <c r="BF143" s="35"/>
      <c r="BG143" s="35"/>
      <c r="BH143" s="26"/>
      <c r="BI143" s="35"/>
      <c r="BJ143" s="35"/>
      <c r="BK143" s="35"/>
      <c r="BL143" s="26"/>
      <c r="BM143" s="26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</row>
    <row r="144" spans="1:84" s="2" customFormat="1" x14ac:dyDescent="0.3">
      <c r="A144" s="111"/>
      <c r="B144" s="117"/>
      <c r="C144" s="128"/>
      <c r="D144" s="111"/>
      <c r="E144" s="128"/>
      <c r="F144" s="128"/>
      <c r="G144" s="128"/>
      <c r="H144" s="128"/>
      <c r="I144" s="128"/>
      <c r="J144" s="128"/>
      <c r="K144" s="128"/>
      <c r="L144" s="128"/>
      <c r="M144" s="128"/>
      <c r="N144" s="124"/>
      <c r="O144" s="124"/>
      <c r="P144" s="124"/>
      <c r="Q144" s="124"/>
      <c r="R144" s="124"/>
      <c r="S144" s="124"/>
      <c r="T144" s="124"/>
      <c r="U144" s="26"/>
      <c r="V144" s="26"/>
      <c r="W144" s="26"/>
      <c r="X144" s="26"/>
      <c r="Y144" s="26"/>
      <c r="Z144" s="26"/>
      <c r="AA144" s="26"/>
      <c r="AB144" s="26"/>
      <c r="AC144" s="26"/>
      <c r="AD144" s="336"/>
      <c r="AE144" s="336"/>
      <c r="AF144" s="336"/>
      <c r="AG144" s="336"/>
      <c r="AH144" s="336"/>
      <c r="AI144" s="336"/>
      <c r="AJ144" s="336"/>
      <c r="AK144" s="33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7"/>
      <c r="AX144" s="26"/>
      <c r="AY144" s="26"/>
      <c r="AZ144" s="157"/>
      <c r="BA144" s="43"/>
      <c r="BB144" s="157"/>
      <c r="BC144" s="43"/>
      <c r="BD144" s="26"/>
      <c r="BE144" s="35"/>
      <c r="BF144" s="35"/>
      <c r="BG144" s="35"/>
      <c r="BH144" s="26"/>
      <c r="BI144" s="35"/>
      <c r="BJ144" s="35"/>
      <c r="BK144" s="35"/>
      <c r="BL144" s="26"/>
      <c r="BM144" s="26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</row>
    <row r="145" spans="1:84" s="2" customFormat="1" x14ac:dyDescent="0.3">
      <c r="A145" s="111"/>
      <c r="B145" s="117"/>
      <c r="C145" s="128"/>
      <c r="D145" s="111"/>
      <c r="E145" s="128"/>
      <c r="F145" s="128"/>
      <c r="G145" s="128"/>
      <c r="H145" s="128"/>
      <c r="I145" s="128"/>
      <c r="J145" s="128"/>
      <c r="K145" s="128"/>
      <c r="L145" s="128"/>
      <c r="M145" s="128"/>
      <c r="N145" s="124"/>
      <c r="O145" s="124"/>
      <c r="P145" s="124"/>
      <c r="Q145" s="124"/>
      <c r="R145" s="124"/>
      <c r="S145" s="124"/>
      <c r="T145" s="124"/>
      <c r="U145" s="26"/>
      <c r="V145" s="26"/>
      <c r="W145" s="26"/>
      <c r="X145" s="26"/>
      <c r="Y145" s="26"/>
      <c r="Z145" s="26"/>
      <c r="AA145" s="26"/>
      <c r="AB145" s="26"/>
      <c r="AC145" s="26"/>
      <c r="AD145" s="336"/>
      <c r="AE145" s="336"/>
      <c r="AF145" s="336"/>
      <c r="AG145" s="336"/>
      <c r="AH145" s="336"/>
      <c r="AI145" s="336"/>
      <c r="AJ145" s="336"/>
      <c r="AK145" s="33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7"/>
      <c r="AX145" s="26"/>
      <c r="AY145" s="26"/>
      <c r="AZ145" s="157"/>
      <c r="BA145" s="43"/>
      <c r="BB145" s="157"/>
      <c r="BC145" s="43"/>
      <c r="BD145" s="26"/>
      <c r="BE145" s="35"/>
      <c r="BF145" s="35"/>
      <c r="BG145" s="35"/>
      <c r="BH145" s="26"/>
      <c r="BI145" s="35"/>
      <c r="BJ145" s="35"/>
      <c r="BK145" s="35"/>
      <c r="BL145" s="26"/>
      <c r="BM145" s="26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1"/>
      <c r="CD145" s="111"/>
      <c r="CE145" s="111"/>
      <c r="CF145" s="111"/>
    </row>
    <row r="146" spans="1:84" s="2" customFormat="1" x14ac:dyDescent="0.3">
      <c r="A146" s="111"/>
      <c r="B146" s="117"/>
      <c r="C146" s="128"/>
      <c r="D146" s="111"/>
      <c r="E146" s="128"/>
      <c r="F146" s="128"/>
      <c r="G146" s="128"/>
      <c r="H146" s="128"/>
      <c r="I146" s="128"/>
      <c r="J146" s="128"/>
      <c r="K146" s="128"/>
      <c r="L146" s="128"/>
      <c r="M146" s="128"/>
      <c r="N146" s="124"/>
      <c r="O146" s="124"/>
      <c r="P146" s="124"/>
      <c r="Q146" s="124"/>
      <c r="R146" s="124"/>
      <c r="S146" s="124"/>
      <c r="T146" s="124"/>
      <c r="U146" s="26"/>
      <c r="V146" s="26"/>
      <c r="W146" s="26"/>
      <c r="X146" s="26"/>
      <c r="Y146" s="26"/>
      <c r="Z146" s="26"/>
      <c r="AA146" s="26"/>
      <c r="AB146" s="26"/>
      <c r="AC146" s="26"/>
      <c r="AD146" s="336"/>
      <c r="AE146" s="336"/>
      <c r="AF146" s="336"/>
      <c r="AG146" s="336"/>
      <c r="AH146" s="336"/>
      <c r="AI146" s="336"/>
      <c r="AJ146" s="336"/>
      <c r="AK146" s="33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7"/>
      <c r="AX146" s="26"/>
      <c r="AY146" s="26"/>
      <c r="AZ146" s="157"/>
      <c r="BA146" s="43"/>
      <c r="BB146" s="157"/>
      <c r="BC146" s="43"/>
      <c r="BD146" s="26"/>
      <c r="BE146" s="35"/>
      <c r="BF146" s="35"/>
      <c r="BG146" s="35"/>
      <c r="BH146" s="26"/>
      <c r="BI146" s="35"/>
      <c r="BJ146" s="35"/>
      <c r="BK146" s="35"/>
      <c r="BL146" s="26"/>
      <c r="BM146" s="26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</row>
    <row r="147" spans="1:84" s="2" customFormat="1" x14ac:dyDescent="0.3">
      <c r="A147" s="111"/>
      <c r="B147" s="117"/>
      <c r="C147" s="128"/>
      <c r="D147" s="111"/>
      <c r="E147" s="128"/>
      <c r="F147" s="128"/>
      <c r="G147" s="128"/>
      <c r="H147" s="128"/>
      <c r="I147" s="128"/>
      <c r="J147" s="128"/>
      <c r="K147" s="128"/>
      <c r="L147" s="128"/>
      <c r="M147" s="128"/>
      <c r="N147" s="124"/>
      <c r="O147" s="124"/>
      <c r="P147" s="124"/>
      <c r="Q147" s="124"/>
      <c r="R147" s="124"/>
      <c r="S147" s="124"/>
      <c r="T147" s="124"/>
      <c r="U147" s="26"/>
      <c r="V147" s="26"/>
      <c r="W147" s="26"/>
      <c r="X147" s="26"/>
      <c r="Y147" s="26"/>
      <c r="Z147" s="26"/>
      <c r="AA147" s="26"/>
      <c r="AB147" s="26"/>
      <c r="AC147" s="26"/>
      <c r="AD147" s="336"/>
      <c r="AE147" s="336"/>
      <c r="AF147" s="336"/>
      <c r="AG147" s="336"/>
      <c r="AH147" s="336"/>
      <c r="AI147" s="336"/>
      <c r="AJ147" s="336"/>
      <c r="AK147" s="33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7"/>
      <c r="AX147" s="26"/>
      <c r="AY147" s="26"/>
      <c r="AZ147" s="157"/>
      <c r="BA147" s="43"/>
      <c r="BB147" s="157"/>
      <c r="BC147" s="43"/>
      <c r="BD147" s="26"/>
      <c r="BE147" s="35"/>
      <c r="BF147" s="35"/>
      <c r="BG147" s="35"/>
      <c r="BH147" s="26"/>
      <c r="BI147" s="35"/>
      <c r="BJ147" s="35"/>
      <c r="BK147" s="35"/>
      <c r="BL147" s="26"/>
      <c r="BM147" s="26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</row>
    <row r="148" spans="1:84" x14ac:dyDescent="0.3">
      <c r="B148" s="117"/>
      <c r="C148" s="128"/>
      <c r="D148" s="111"/>
      <c r="E148" s="128"/>
      <c r="F148" s="128"/>
      <c r="G148" s="128"/>
      <c r="H148" s="128"/>
      <c r="I148" s="128"/>
      <c r="J148" s="128"/>
      <c r="K148" s="128"/>
      <c r="L148" s="128"/>
      <c r="M148" s="128"/>
      <c r="N148" s="124"/>
      <c r="O148" s="124"/>
      <c r="P148" s="124"/>
      <c r="Q148" s="124"/>
      <c r="R148" s="124"/>
      <c r="S148" s="124"/>
      <c r="T148" s="124"/>
    </row>
    <row r="149" spans="1:84" x14ac:dyDescent="0.3">
      <c r="B149" s="117"/>
      <c r="C149" s="128"/>
      <c r="D149" s="111"/>
      <c r="E149" s="128"/>
      <c r="F149" s="128"/>
      <c r="G149" s="128"/>
      <c r="H149" s="128"/>
      <c r="I149" s="128"/>
      <c r="J149" s="128"/>
      <c r="K149" s="128"/>
      <c r="L149" s="128"/>
      <c r="M149" s="128"/>
      <c r="N149" s="124"/>
      <c r="O149" s="124"/>
      <c r="P149" s="124"/>
      <c r="Q149" s="124"/>
      <c r="R149" s="124"/>
      <c r="S149" s="124"/>
      <c r="T149" s="124"/>
    </row>
    <row r="150" spans="1:84" x14ac:dyDescent="0.3">
      <c r="B150" s="117"/>
      <c r="C150" s="128"/>
      <c r="D150" s="111"/>
      <c r="E150" s="128"/>
      <c r="F150" s="128"/>
      <c r="G150" s="128"/>
      <c r="H150" s="128"/>
      <c r="I150" s="128"/>
      <c r="J150" s="128"/>
      <c r="K150" s="128"/>
      <c r="L150" s="128"/>
      <c r="M150" s="128"/>
      <c r="N150" s="124"/>
      <c r="O150" s="124"/>
      <c r="P150" s="124"/>
      <c r="Q150" s="124"/>
      <c r="R150" s="124"/>
      <c r="S150" s="124"/>
      <c r="T150" s="124"/>
    </row>
    <row r="151" spans="1:84" x14ac:dyDescent="0.3">
      <c r="B151" s="117"/>
      <c r="C151" s="128"/>
      <c r="D151" s="111"/>
      <c r="E151" s="128"/>
      <c r="F151" s="128"/>
      <c r="G151" s="128"/>
      <c r="H151" s="128"/>
      <c r="I151" s="128"/>
      <c r="J151" s="128"/>
      <c r="K151" s="128"/>
      <c r="L151" s="128"/>
      <c r="M151" s="128"/>
      <c r="N151" s="124"/>
      <c r="O151" s="124"/>
      <c r="P151" s="124"/>
      <c r="Q151" s="124"/>
      <c r="R151" s="124"/>
      <c r="S151" s="124"/>
      <c r="T151" s="124"/>
    </row>
    <row r="152" spans="1:84" x14ac:dyDescent="0.3">
      <c r="B152" s="117"/>
      <c r="C152" s="128"/>
      <c r="D152" s="111"/>
      <c r="E152" s="128"/>
      <c r="F152" s="128"/>
      <c r="G152" s="128"/>
      <c r="H152" s="128"/>
      <c r="I152" s="128"/>
      <c r="J152" s="128"/>
      <c r="K152" s="128"/>
      <c r="L152" s="128"/>
      <c r="M152" s="128"/>
      <c r="N152" s="124"/>
      <c r="O152" s="124"/>
      <c r="P152" s="124"/>
      <c r="Q152" s="124"/>
      <c r="R152" s="124"/>
      <c r="S152" s="124"/>
      <c r="T152" s="124"/>
    </row>
    <row r="153" spans="1:84" x14ac:dyDescent="0.3">
      <c r="B153" s="117"/>
      <c r="C153" s="128"/>
      <c r="D153" s="111"/>
      <c r="E153" s="128"/>
      <c r="F153" s="128"/>
      <c r="G153" s="128"/>
      <c r="H153" s="128"/>
      <c r="I153" s="128"/>
      <c r="J153" s="128"/>
      <c r="K153" s="128"/>
      <c r="L153" s="128"/>
      <c r="M153" s="128"/>
      <c r="N153" s="124"/>
      <c r="O153" s="124"/>
      <c r="P153" s="124"/>
      <c r="Q153" s="124"/>
      <c r="R153" s="124"/>
      <c r="S153" s="124"/>
      <c r="T153" s="124"/>
    </row>
    <row r="154" spans="1:84" x14ac:dyDescent="0.3">
      <c r="B154" s="117"/>
      <c r="C154" s="128"/>
      <c r="D154" s="111"/>
      <c r="E154" s="128"/>
      <c r="F154" s="128"/>
      <c r="G154" s="128"/>
      <c r="H154" s="128"/>
      <c r="I154" s="128"/>
      <c r="J154" s="128"/>
      <c r="K154" s="128"/>
      <c r="L154" s="128"/>
      <c r="M154" s="128"/>
      <c r="N154" s="124"/>
      <c r="O154" s="124"/>
      <c r="P154" s="124"/>
      <c r="Q154" s="124"/>
      <c r="R154" s="124"/>
      <c r="S154" s="124"/>
      <c r="T154" s="124"/>
    </row>
    <row r="155" spans="1:84" x14ac:dyDescent="0.3">
      <c r="B155" s="117"/>
      <c r="C155" s="128"/>
      <c r="D155" s="111"/>
      <c r="E155" s="128"/>
      <c r="F155" s="128"/>
      <c r="G155" s="128"/>
      <c r="H155" s="128"/>
      <c r="I155" s="128"/>
      <c r="J155" s="128"/>
      <c r="K155" s="128"/>
      <c r="L155" s="128"/>
      <c r="M155" s="128"/>
      <c r="N155" s="124"/>
      <c r="O155" s="124"/>
      <c r="P155" s="124"/>
      <c r="Q155" s="124"/>
      <c r="R155" s="124"/>
      <c r="S155" s="124"/>
      <c r="T155" s="124"/>
    </row>
    <row r="156" spans="1:84" x14ac:dyDescent="0.3">
      <c r="B156" s="117"/>
      <c r="C156" s="128"/>
      <c r="D156" s="111"/>
      <c r="E156" s="128"/>
      <c r="F156" s="128"/>
      <c r="G156" s="128"/>
      <c r="H156" s="128"/>
      <c r="I156" s="128"/>
      <c r="J156" s="128"/>
      <c r="K156" s="128"/>
      <c r="L156" s="128"/>
      <c r="M156" s="128"/>
      <c r="N156" s="124"/>
      <c r="O156" s="124"/>
      <c r="P156" s="124"/>
      <c r="Q156" s="124"/>
      <c r="R156" s="124"/>
      <c r="S156" s="124"/>
      <c r="T156" s="124"/>
    </row>
    <row r="157" spans="1:84" x14ac:dyDescent="0.3">
      <c r="B157" s="117"/>
      <c r="C157" s="128"/>
      <c r="D157" s="111"/>
      <c r="E157" s="128"/>
      <c r="F157" s="128"/>
      <c r="G157" s="128"/>
      <c r="H157" s="128"/>
      <c r="I157" s="128"/>
      <c r="J157" s="128"/>
      <c r="K157" s="128"/>
      <c r="L157" s="128"/>
      <c r="M157" s="128"/>
      <c r="N157" s="124"/>
      <c r="O157" s="124"/>
      <c r="P157" s="124"/>
      <c r="Q157" s="124"/>
      <c r="R157" s="124"/>
      <c r="S157" s="124"/>
      <c r="T157" s="124"/>
    </row>
    <row r="158" spans="1:84" x14ac:dyDescent="0.3">
      <c r="B158" s="117"/>
      <c r="C158" s="128"/>
      <c r="D158" s="111"/>
      <c r="E158" s="128"/>
      <c r="F158" s="128"/>
      <c r="G158" s="128"/>
      <c r="H158" s="128"/>
      <c r="I158" s="128"/>
      <c r="J158" s="128"/>
      <c r="K158" s="128"/>
      <c r="L158" s="128"/>
      <c r="M158" s="128"/>
      <c r="N158" s="124"/>
      <c r="O158" s="124"/>
      <c r="P158" s="124"/>
      <c r="Q158" s="124"/>
      <c r="R158" s="124"/>
      <c r="S158" s="124"/>
      <c r="T158" s="124"/>
    </row>
    <row r="159" spans="1:84" x14ac:dyDescent="0.3">
      <c r="B159" s="117"/>
      <c r="C159" s="128"/>
      <c r="D159" s="111"/>
      <c r="E159" s="128"/>
      <c r="F159" s="128"/>
      <c r="G159" s="128"/>
      <c r="H159" s="128"/>
      <c r="I159" s="128"/>
      <c r="J159" s="128"/>
      <c r="K159" s="128"/>
      <c r="L159" s="128"/>
      <c r="M159" s="128"/>
      <c r="N159" s="124"/>
      <c r="O159" s="124"/>
      <c r="P159" s="124"/>
      <c r="Q159" s="124"/>
      <c r="R159" s="124"/>
      <c r="S159" s="124"/>
      <c r="T159" s="124"/>
    </row>
    <row r="160" spans="1:84" x14ac:dyDescent="0.3">
      <c r="B160" s="117"/>
      <c r="C160" s="128"/>
      <c r="D160" s="111"/>
      <c r="E160" s="128"/>
      <c r="F160" s="128"/>
      <c r="G160" s="128"/>
      <c r="H160" s="128"/>
      <c r="I160" s="128"/>
      <c r="J160" s="128"/>
      <c r="K160" s="128"/>
      <c r="L160" s="128"/>
      <c r="M160" s="128"/>
      <c r="N160" s="124"/>
      <c r="O160" s="124"/>
      <c r="P160" s="124"/>
      <c r="Q160" s="124"/>
      <c r="R160" s="124"/>
      <c r="S160" s="124"/>
      <c r="T160" s="124"/>
    </row>
    <row r="161" spans="2:20" x14ac:dyDescent="0.3">
      <c r="B161" s="117"/>
      <c r="C161" s="128"/>
      <c r="D161" s="111"/>
      <c r="E161" s="128"/>
      <c r="F161" s="128"/>
      <c r="G161" s="128"/>
      <c r="H161" s="128"/>
      <c r="I161" s="128"/>
      <c r="J161" s="128"/>
      <c r="K161" s="128"/>
      <c r="L161" s="128"/>
      <c r="M161" s="128"/>
      <c r="N161" s="124"/>
      <c r="O161" s="124"/>
      <c r="P161" s="124"/>
      <c r="Q161" s="124"/>
      <c r="R161" s="124"/>
      <c r="S161" s="124"/>
      <c r="T161" s="124"/>
    </row>
    <row r="162" spans="2:20" x14ac:dyDescent="0.3">
      <c r="B162" s="117"/>
      <c r="C162" s="128"/>
      <c r="D162" s="111"/>
      <c r="E162" s="128"/>
      <c r="F162" s="128"/>
      <c r="G162" s="128"/>
      <c r="H162" s="128"/>
      <c r="I162" s="128"/>
      <c r="J162" s="128"/>
      <c r="K162" s="128"/>
      <c r="L162" s="128"/>
      <c r="M162" s="128"/>
      <c r="N162" s="124"/>
      <c r="O162" s="124"/>
      <c r="P162" s="124"/>
      <c r="Q162" s="124"/>
      <c r="R162" s="124"/>
      <c r="S162" s="124"/>
      <c r="T162" s="124"/>
    </row>
    <row r="163" spans="2:20" x14ac:dyDescent="0.3">
      <c r="B163" s="117"/>
      <c r="C163" s="128"/>
      <c r="D163" s="111"/>
      <c r="E163" s="128"/>
      <c r="F163" s="128"/>
      <c r="G163" s="128"/>
      <c r="H163" s="128"/>
      <c r="I163" s="128"/>
      <c r="J163" s="128"/>
      <c r="K163" s="128"/>
      <c r="L163" s="128"/>
      <c r="M163" s="128"/>
      <c r="N163" s="124"/>
      <c r="O163" s="124"/>
      <c r="P163" s="124"/>
      <c r="Q163" s="124"/>
      <c r="R163" s="124"/>
      <c r="S163" s="124"/>
      <c r="T163" s="124"/>
    </row>
    <row r="164" spans="2:20" x14ac:dyDescent="0.3">
      <c r="B164" s="117"/>
      <c r="C164" s="128"/>
      <c r="D164" s="111"/>
      <c r="E164" s="128"/>
      <c r="F164" s="128"/>
      <c r="G164" s="128"/>
      <c r="H164" s="128"/>
      <c r="I164" s="128"/>
      <c r="J164" s="128"/>
      <c r="K164" s="128"/>
      <c r="L164" s="128"/>
      <c r="M164" s="128"/>
      <c r="N164" s="124"/>
      <c r="O164" s="124"/>
      <c r="P164" s="124"/>
      <c r="Q164" s="124"/>
      <c r="R164" s="124"/>
      <c r="S164" s="124"/>
      <c r="T164" s="124"/>
    </row>
    <row r="165" spans="2:20" x14ac:dyDescent="0.3">
      <c r="B165" s="117"/>
      <c r="C165" s="128"/>
      <c r="D165" s="111"/>
      <c r="E165" s="128"/>
      <c r="F165" s="128"/>
      <c r="G165" s="128"/>
      <c r="H165" s="128"/>
      <c r="I165" s="128"/>
      <c r="J165" s="128"/>
      <c r="K165" s="128"/>
      <c r="L165" s="128"/>
      <c r="M165" s="128"/>
      <c r="N165" s="124"/>
      <c r="O165" s="124"/>
      <c r="P165" s="124"/>
      <c r="Q165" s="124"/>
      <c r="R165" s="124"/>
      <c r="S165" s="124"/>
      <c r="T165" s="124"/>
    </row>
  </sheetData>
  <sheetProtection algorithmName="SHA-512" hashValue="yP2QQg++Fr+cWg20Ua/Wd/zTnOdkvtPpLjj0noB+R76oHqXf1PWk5/VM2rloSkZhZq9JHykegE5GYZ4R0kBZAw==" saltValue="j/iQ78ReYfR6NH5bXcT/Lg==" spinCount="100000" sheet="1" objects="1" scenarios="1"/>
  <mergeCells count="27">
    <mergeCell ref="BD74:BG74"/>
    <mergeCell ref="BH74:BK74"/>
    <mergeCell ref="AD47:AJ47"/>
    <mergeCell ref="N47:T47"/>
    <mergeCell ref="H5:O10"/>
    <mergeCell ref="BD48:BG48"/>
    <mergeCell ref="BH48:BK48"/>
    <mergeCell ref="W47:AC47"/>
    <mergeCell ref="H12:O12"/>
    <mergeCell ref="H13:O13"/>
    <mergeCell ref="I47:K47"/>
    <mergeCell ref="L47:M47"/>
    <mergeCell ref="AS48:AT48"/>
    <mergeCell ref="AZ48:BA48"/>
    <mergeCell ref="BB48:BC48"/>
    <mergeCell ref="D26:F26"/>
    <mergeCell ref="D27:F27"/>
    <mergeCell ref="B1:F1"/>
    <mergeCell ref="B47:F47"/>
    <mergeCell ref="D20:F21"/>
    <mergeCell ref="D22:F22"/>
    <mergeCell ref="D23:F23"/>
    <mergeCell ref="D28:F30"/>
    <mergeCell ref="B26:B30"/>
    <mergeCell ref="B5:B16"/>
    <mergeCell ref="B20:B23"/>
    <mergeCell ref="E3:G3"/>
  </mergeCells>
  <phoneticPr fontId="5" type="noConversion"/>
  <conditionalFormatting sqref="AV4:AV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51:AV7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4:AW2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4:AX2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D18" r:id="rId1" xr:uid="{83316919-0071-4D35-A8DA-3C048D720234}"/>
    <hyperlink ref="H13" r:id="rId2" xr:uid="{6AB3FC26-A084-4D58-82CC-61CB4042482B}"/>
    <hyperlink ref="F18" r:id="rId3" xr:uid="{E4D0238C-DB56-4795-B8D5-1183EE7FC27E}"/>
  </hyperlinks>
  <pageMargins left="0.14000000000000001" right="0.03" top="0.35" bottom="0.11811023622047245" header="0.1" footer="7.874015748031496E-2"/>
  <pageSetup paperSize="9" scale="41" fitToHeight="0" orientation="landscape" r:id="rId4"/>
  <rowBreaks count="1" manualBreakCount="1">
    <brk id="76" max="18" man="1"/>
  </rowBreaks>
  <drawing r:id="rId5"/>
  <legacy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982B-0226-4FC4-B481-9BD26DD7F965}">
  <sheetPr codeName="Tabelle1">
    <tabColor rgb="FF92D050"/>
    <pageSetUpPr fitToPage="1"/>
  </sheetPr>
  <dimension ref="A1:AL129"/>
  <sheetViews>
    <sheetView showGridLines="0" showZeros="0" zoomScaleNormal="100" workbookViewId="0">
      <pane xSplit="3" ySplit="7" topLeftCell="D8" activePane="bottomRight" state="frozen"/>
      <selection pane="topRight" activeCell="D1" sqref="D1"/>
      <selection pane="bottomLeft" activeCell="A12" sqref="A12"/>
      <selection pane="bottomRight" activeCell="B8" sqref="B8"/>
    </sheetView>
  </sheetViews>
  <sheetFormatPr baseColWidth="10" defaultRowHeight="15" outlineLevelRow="1" outlineLevelCol="1" x14ac:dyDescent="0.3"/>
  <cols>
    <col min="1" max="1" width="1.28515625" style="111" customWidth="1"/>
    <col min="2" max="2" width="18.5703125" style="100" customWidth="1"/>
    <col min="3" max="3" width="62" style="56" customWidth="1"/>
    <col min="4" max="4" width="7.28515625" style="101" bestFit="1" customWidth="1"/>
    <col min="5" max="5" width="11.5703125" style="101" bestFit="1" customWidth="1"/>
    <col min="6" max="6" width="31.5703125" style="56" customWidth="1"/>
    <col min="7" max="7" width="12.42578125" style="101" customWidth="1"/>
    <col min="8" max="9" width="18.140625" style="101" customWidth="1"/>
    <col min="10" max="15" width="12.42578125" style="101" hidden="1" customWidth="1" outlineLevel="1"/>
    <col min="16" max="16" width="18.28515625" style="101" customWidth="1" collapsed="1"/>
    <col min="17" max="17" width="9.5703125" style="102" customWidth="1"/>
    <col min="18" max="18" width="9.5703125" style="103" customWidth="1"/>
    <col min="19" max="19" width="53.5703125" style="104" bestFit="1" customWidth="1"/>
    <col min="20" max="38" width="11.42578125" style="111"/>
    <col min="39" max="16384" width="11.42578125" style="56"/>
  </cols>
  <sheetData>
    <row r="1" spans="1:38" s="111" customFormat="1" ht="24" thickBot="1" x14ac:dyDescent="0.35">
      <c r="B1" s="590" t="str">
        <f>'Übersicht &amp; Anleitung'!B1:F1</f>
        <v>Der "Mosaik der Märchen"-Crowdfunding-Guide       von       Hinter dem Schwarzen Auge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2"/>
      <c r="Z1" s="115"/>
      <c r="AA1" s="116"/>
      <c r="AB1" s="116"/>
      <c r="AC1" s="115"/>
      <c r="AD1" s="116"/>
      <c r="AE1" s="116"/>
      <c r="AF1" s="115"/>
    </row>
    <row r="2" spans="1:38" s="2" customFormat="1" ht="4.5" customHeight="1" thickBot="1" x14ac:dyDescent="0.35">
      <c r="A2" s="111"/>
      <c r="B2" s="111"/>
      <c r="C2" s="111"/>
      <c r="D2" s="128"/>
      <c r="E2" s="128"/>
      <c r="F2" s="111"/>
      <c r="G2" s="128"/>
      <c r="H2" s="129"/>
      <c r="I2" s="129"/>
      <c r="J2" s="129"/>
      <c r="K2" s="129"/>
      <c r="L2" s="129"/>
      <c r="M2" s="129"/>
      <c r="N2" s="129"/>
      <c r="O2" s="129"/>
      <c r="P2" s="129"/>
      <c r="Q2" s="111"/>
      <c r="R2" s="111"/>
      <c r="S2" s="111"/>
      <c r="T2" s="111"/>
      <c r="U2" s="111"/>
      <c r="V2" s="111"/>
      <c r="W2" s="111"/>
      <c r="X2" s="111"/>
      <c r="Y2" s="111"/>
      <c r="Z2" s="115"/>
      <c r="AA2" s="116"/>
      <c r="AB2" s="116"/>
      <c r="AC2" s="115"/>
      <c r="AD2" s="116"/>
      <c r="AE2" s="116"/>
      <c r="AF2" s="115"/>
      <c r="AG2" s="111"/>
      <c r="AH2" s="111"/>
      <c r="AI2" s="111"/>
      <c r="AJ2" s="111"/>
      <c r="AK2" s="111"/>
      <c r="AL2" s="111"/>
    </row>
    <row r="3" spans="1:38" s="44" customFormat="1" ht="33.75" thickBot="1" x14ac:dyDescent="0.35">
      <c r="A3" s="112"/>
      <c r="B3" s="674" t="s">
        <v>323</v>
      </c>
      <c r="C3" s="675"/>
      <c r="D3" s="680"/>
      <c r="E3" s="680"/>
      <c r="F3" s="681"/>
      <c r="G3" s="666" t="s">
        <v>197</v>
      </c>
      <c r="H3" s="422" t="s">
        <v>237</v>
      </c>
      <c r="I3" s="422" t="s">
        <v>238</v>
      </c>
      <c r="J3" s="422"/>
      <c r="K3" s="422"/>
      <c r="L3" s="422"/>
      <c r="M3" s="422"/>
      <c r="N3" s="422"/>
      <c r="O3" s="422"/>
      <c r="P3" s="423" t="s">
        <v>239</v>
      </c>
      <c r="Q3" s="678" t="s">
        <v>27</v>
      </c>
      <c r="R3" s="679"/>
      <c r="S3" s="679"/>
      <c r="T3" s="112"/>
      <c r="U3" s="112"/>
      <c r="V3" s="112"/>
      <c r="W3" s="112"/>
      <c r="X3" s="112"/>
      <c r="Y3" s="112"/>
      <c r="Z3" s="115"/>
      <c r="AA3" s="116"/>
      <c r="AB3" s="116"/>
      <c r="AC3" s="115"/>
      <c r="AD3" s="116"/>
      <c r="AE3" s="116"/>
      <c r="AF3" s="115"/>
      <c r="AG3" s="112"/>
      <c r="AH3" s="112"/>
      <c r="AI3" s="112"/>
      <c r="AJ3" s="112"/>
      <c r="AK3" s="112"/>
      <c r="AL3" s="112"/>
    </row>
    <row r="4" spans="1:38" s="2" customFormat="1" ht="33.75" customHeight="1" x14ac:dyDescent="0.3">
      <c r="A4" s="111"/>
      <c r="B4" s="676" t="s">
        <v>1</v>
      </c>
      <c r="C4" s="236"/>
      <c r="D4" s="680"/>
      <c r="E4" s="680"/>
      <c r="F4" s="681"/>
      <c r="G4" s="667"/>
      <c r="H4" s="273"/>
      <c r="I4" s="273"/>
      <c r="J4" s="273"/>
      <c r="K4" s="273"/>
      <c r="L4" s="273"/>
      <c r="M4" s="273"/>
      <c r="N4" s="273"/>
      <c r="O4" s="273"/>
      <c r="P4" s="274"/>
      <c r="Q4" s="678"/>
      <c r="R4" s="679"/>
      <c r="S4" s="679"/>
      <c r="T4" s="111"/>
      <c r="U4" s="111"/>
      <c r="V4" s="111"/>
      <c r="W4" s="111"/>
      <c r="X4" s="111"/>
      <c r="Y4" s="111"/>
      <c r="Z4" s="115"/>
      <c r="AA4" s="116"/>
      <c r="AB4" s="116"/>
      <c r="AC4" s="115"/>
      <c r="AD4" s="116"/>
      <c r="AE4" s="116"/>
      <c r="AF4" s="115"/>
      <c r="AG4" s="111"/>
      <c r="AH4" s="111"/>
      <c r="AI4" s="111"/>
      <c r="AJ4" s="111"/>
      <c r="AK4" s="111"/>
      <c r="AL4" s="111"/>
    </row>
    <row r="5" spans="1:38" s="45" customFormat="1" ht="15.75" thickBot="1" x14ac:dyDescent="0.35">
      <c r="A5" s="113"/>
      <c r="B5" s="677"/>
      <c r="C5" s="240"/>
      <c r="D5" s="240"/>
      <c r="E5" s="240"/>
      <c r="F5" s="144" t="s">
        <v>28</v>
      </c>
      <c r="G5" s="256"/>
      <c r="H5" s="256">
        <f>'Übersicht &amp; Anleitung'!$V$15</f>
        <v>24</v>
      </c>
      <c r="I5" s="256">
        <f>'Übersicht &amp; Anleitung'!$V$16</f>
        <v>714</v>
      </c>
      <c r="J5" s="256">
        <f>'Übersicht &amp; Anleitung'!$V$17</f>
        <v>0</v>
      </c>
      <c r="K5" s="256">
        <f>'Übersicht &amp; Anleitung'!$V$18</f>
        <v>0</v>
      </c>
      <c r="L5" s="256">
        <f>'Übersicht &amp; Anleitung'!$V$19</f>
        <v>0</v>
      </c>
      <c r="M5" s="256">
        <f>'Übersicht &amp; Anleitung'!$V$20</f>
        <v>0</v>
      </c>
      <c r="N5" s="256">
        <f>'Übersicht &amp; Anleitung'!$V$21</f>
        <v>0</v>
      </c>
      <c r="O5" s="256">
        <f>'Übersicht &amp; Anleitung'!$V$22</f>
        <v>0</v>
      </c>
      <c r="P5" s="257">
        <f>'Übersicht &amp; Anleitung'!$V$23</f>
        <v>419</v>
      </c>
      <c r="Q5" s="678"/>
      <c r="R5" s="679"/>
      <c r="S5" s="679"/>
      <c r="T5" s="113"/>
      <c r="U5" s="113"/>
      <c r="V5" s="113"/>
      <c r="W5" s="113"/>
      <c r="X5" s="113"/>
      <c r="Y5" s="113"/>
      <c r="Z5" s="115"/>
      <c r="AA5" s="116"/>
      <c r="AB5" s="116"/>
      <c r="AC5" s="115"/>
      <c r="AD5" s="116"/>
      <c r="AE5" s="116"/>
      <c r="AF5" s="115"/>
      <c r="AG5" s="113"/>
      <c r="AH5" s="113"/>
      <c r="AI5" s="113"/>
      <c r="AJ5" s="113"/>
      <c r="AK5" s="113"/>
      <c r="AL5" s="113"/>
    </row>
    <row r="6" spans="1:38" s="45" customFormat="1" ht="15.75" thickBot="1" x14ac:dyDescent="0.35">
      <c r="A6" s="113"/>
      <c r="B6" s="122"/>
      <c r="C6" s="272"/>
      <c r="D6" s="272"/>
      <c r="E6" s="272"/>
      <c r="F6" s="144" t="s">
        <v>108</v>
      </c>
      <c r="G6" s="171"/>
      <c r="H6" s="171">
        <f>H5/'Übersicht &amp; Anleitung'!$V$12</f>
        <v>2.0743301642178046E-2</v>
      </c>
      <c r="I6" s="171">
        <f>I5/'Übersicht &amp; Anleitung'!$V$12</f>
        <v>0.61711322385479694</v>
      </c>
      <c r="J6" s="171">
        <f>J5/'Übersicht &amp; Anleitung'!$V$12</f>
        <v>0</v>
      </c>
      <c r="K6" s="171">
        <f>K5/'Übersicht &amp; Anleitung'!$V$12</f>
        <v>0</v>
      </c>
      <c r="L6" s="171">
        <f>L5/'Übersicht &amp; Anleitung'!$V$12</f>
        <v>0</v>
      </c>
      <c r="M6" s="171">
        <f>M5/'Übersicht &amp; Anleitung'!$V$12</f>
        <v>0</v>
      </c>
      <c r="N6" s="171">
        <f>N5/'Übersicht &amp; Anleitung'!$V$12</f>
        <v>0</v>
      </c>
      <c r="O6" s="171">
        <f>O5/'Übersicht &amp; Anleitung'!$V$12</f>
        <v>0</v>
      </c>
      <c r="P6" s="172">
        <f>P5/'Übersicht &amp; Anleitung'!$V$12</f>
        <v>0.36214347450302509</v>
      </c>
      <c r="Q6" s="113"/>
      <c r="R6" s="113"/>
      <c r="S6" s="113"/>
      <c r="T6" s="113"/>
      <c r="U6" s="113"/>
      <c r="V6" s="113"/>
      <c r="W6" s="113"/>
      <c r="X6" s="113"/>
      <c r="Y6" s="113"/>
      <c r="Z6" s="115"/>
      <c r="AA6" s="116"/>
      <c r="AB6" s="116"/>
      <c r="AC6" s="115"/>
      <c r="AD6" s="116"/>
      <c r="AE6" s="116"/>
      <c r="AF6" s="115"/>
      <c r="AG6" s="113"/>
      <c r="AH6" s="113"/>
      <c r="AI6" s="113"/>
      <c r="AJ6" s="113"/>
      <c r="AK6" s="113"/>
      <c r="AL6" s="113"/>
    </row>
    <row r="7" spans="1:38" s="47" customFormat="1" ht="60" x14ac:dyDescent="0.3">
      <c r="A7" s="112"/>
      <c r="B7" s="366" t="s">
        <v>104</v>
      </c>
      <c r="C7" s="367" t="s">
        <v>195</v>
      </c>
      <c r="D7" s="368" t="s">
        <v>196</v>
      </c>
      <c r="E7" s="367" t="s">
        <v>122</v>
      </c>
      <c r="F7" s="369" t="s">
        <v>2</v>
      </c>
      <c r="G7" s="370" t="s">
        <v>159</v>
      </c>
      <c r="H7" s="371">
        <v>25</v>
      </c>
      <c r="I7" s="371">
        <v>50</v>
      </c>
      <c r="J7" s="372"/>
      <c r="K7" s="372"/>
      <c r="L7" s="372"/>
      <c r="M7" s="372"/>
      <c r="N7" s="372"/>
      <c r="O7" s="373"/>
      <c r="P7" s="373">
        <v>85</v>
      </c>
      <c r="Q7" s="374" t="s">
        <v>11</v>
      </c>
      <c r="R7" s="145" t="s">
        <v>3</v>
      </c>
      <c r="S7" s="165" t="s">
        <v>57</v>
      </c>
      <c r="T7" s="112"/>
      <c r="U7" s="112"/>
      <c r="V7" s="112"/>
      <c r="W7" s="112"/>
      <c r="X7" s="112"/>
      <c r="Y7" s="112"/>
      <c r="Z7" s="115"/>
      <c r="AA7" s="116"/>
      <c r="AB7" s="116"/>
      <c r="AC7" s="115"/>
      <c r="AD7" s="116"/>
      <c r="AE7" s="116"/>
      <c r="AF7" s="115"/>
      <c r="AG7" s="112"/>
      <c r="AH7" s="112"/>
      <c r="AI7" s="112"/>
      <c r="AJ7" s="112"/>
      <c r="AK7" s="112"/>
      <c r="AL7" s="112"/>
    </row>
    <row r="8" spans="1:38" ht="18" x14ac:dyDescent="0.3">
      <c r="B8" s="108"/>
      <c r="C8" s="194" t="s">
        <v>252</v>
      </c>
      <c r="D8" s="196" t="s">
        <v>124</v>
      </c>
      <c r="E8" s="196" t="s">
        <v>253</v>
      </c>
      <c r="F8" s="52" t="s">
        <v>318</v>
      </c>
      <c r="G8" s="415" t="s">
        <v>102</v>
      </c>
      <c r="H8" s="415" t="s">
        <v>99</v>
      </c>
      <c r="I8" s="107" t="s">
        <v>4</v>
      </c>
      <c r="J8" s="416"/>
      <c r="K8" s="416"/>
      <c r="L8" s="415"/>
      <c r="M8" s="415"/>
      <c r="N8" s="416"/>
      <c r="O8" s="416"/>
      <c r="P8" s="107" t="s">
        <v>4</v>
      </c>
      <c r="Q8" s="406">
        <v>50</v>
      </c>
      <c r="R8" s="54">
        <v>49.95</v>
      </c>
      <c r="S8" s="323" t="s">
        <v>280</v>
      </c>
      <c r="Z8" s="115"/>
      <c r="AA8" s="116"/>
      <c r="AB8" s="116"/>
      <c r="AC8" s="115"/>
      <c r="AD8" s="116"/>
      <c r="AE8" s="116"/>
      <c r="AF8" s="115"/>
    </row>
    <row r="9" spans="1:38" s="58" customFormat="1" ht="18" customHeight="1" x14ac:dyDescent="0.3">
      <c r="A9" s="115"/>
      <c r="B9" s="109"/>
      <c r="C9" s="203" t="s">
        <v>273</v>
      </c>
      <c r="D9" s="277" t="s">
        <v>124</v>
      </c>
      <c r="E9" s="278" t="s">
        <v>109</v>
      </c>
      <c r="F9" s="279" t="s">
        <v>282</v>
      </c>
      <c r="G9" s="417" t="s">
        <v>109</v>
      </c>
      <c r="H9" s="417" t="s">
        <v>109</v>
      </c>
      <c r="I9" s="417" t="s">
        <v>109</v>
      </c>
      <c r="J9" s="417"/>
      <c r="K9" s="417"/>
      <c r="L9" s="417"/>
      <c r="M9" s="417"/>
      <c r="N9" s="416"/>
      <c r="O9" s="417"/>
      <c r="P9" s="417" t="s">
        <v>109</v>
      </c>
      <c r="Q9" s="407" t="s">
        <v>5</v>
      </c>
      <c r="R9" s="280" t="s">
        <v>5</v>
      </c>
      <c r="S9" s="281" t="s">
        <v>274</v>
      </c>
      <c r="T9" s="115"/>
      <c r="U9" s="115"/>
      <c r="V9" s="115"/>
      <c r="W9" s="115"/>
      <c r="X9" s="115"/>
      <c r="Y9" s="115"/>
      <c r="Z9" s="115"/>
      <c r="AA9" s="116"/>
      <c r="AB9" s="116"/>
      <c r="AC9" s="115"/>
      <c r="AD9" s="116"/>
      <c r="AE9" s="116"/>
      <c r="AF9" s="115"/>
      <c r="AG9" s="115"/>
      <c r="AH9" s="115"/>
      <c r="AI9" s="115"/>
      <c r="AJ9" s="115"/>
      <c r="AK9" s="115"/>
      <c r="AL9" s="115"/>
    </row>
    <row r="10" spans="1:38" s="58" customFormat="1" ht="18" x14ac:dyDescent="0.3">
      <c r="A10" s="115"/>
      <c r="B10" s="109"/>
      <c r="C10" s="203" t="s">
        <v>275</v>
      </c>
      <c r="D10" s="277" t="s">
        <v>124</v>
      </c>
      <c r="E10" s="278" t="s">
        <v>109</v>
      </c>
      <c r="F10" s="279" t="s">
        <v>282</v>
      </c>
      <c r="G10" s="417" t="s">
        <v>109</v>
      </c>
      <c r="H10" s="417" t="s">
        <v>109</v>
      </c>
      <c r="I10" s="417" t="s">
        <v>109</v>
      </c>
      <c r="J10" s="417"/>
      <c r="K10" s="417"/>
      <c r="L10" s="417"/>
      <c r="M10" s="417"/>
      <c r="N10" s="416"/>
      <c r="O10" s="417"/>
      <c r="P10" s="417" t="s">
        <v>109</v>
      </c>
      <c r="Q10" s="407" t="s">
        <v>5</v>
      </c>
      <c r="R10" s="280" t="s">
        <v>5</v>
      </c>
      <c r="S10" s="281" t="s">
        <v>274</v>
      </c>
      <c r="T10" s="115"/>
      <c r="U10" s="115"/>
      <c r="V10" s="115"/>
      <c r="W10" s="115"/>
      <c r="X10" s="115"/>
      <c r="Y10" s="115"/>
      <c r="Z10" s="115"/>
      <c r="AA10" s="116"/>
      <c r="AB10" s="116"/>
      <c r="AC10" s="115"/>
      <c r="AD10" s="116"/>
      <c r="AE10" s="116"/>
      <c r="AF10" s="115"/>
      <c r="AG10" s="115"/>
      <c r="AH10" s="115"/>
      <c r="AI10" s="115"/>
      <c r="AJ10" s="115"/>
      <c r="AK10" s="115"/>
      <c r="AL10" s="115"/>
    </row>
    <row r="11" spans="1:38" s="58" customFormat="1" ht="18" x14ac:dyDescent="0.3">
      <c r="A11" s="115"/>
      <c r="B11" s="109"/>
      <c r="C11" s="203" t="s">
        <v>276</v>
      </c>
      <c r="D11" s="277" t="s">
        <v>124</v>
      </c>
      <c r="E11" s="278" t="s">
        <v>109</v>
      </c>
      <c r="F11" s="279" t="s">
        <v>282</v>
      </c>
      <c r="G11" s="417" t="s">
        <v>109</v>
      </c>
      <c r="H11" s="417" t="s">
        <v>109</v>
      </c>
      <c r="I11" s="417" t="s">
        <v>109</v>
      </c>
      <c r="J11" s="417"/>
      <c r="K11" s="417"/>
      <c r="L11" s="417"/>
      <c r="M11" s="417"/>
      <c r="N11" s="416"/>
      <c r="O11" s="417"/>
      <c r="P11" s="417" t="s">
        <v>109</v>
      </c>
      <c r="Q11" s="407" t="s">
        <v>5</v>
      </c>
      <c r="R11" s="280" t="s">
        <v>5</v>
      </c>
      <c r="S11" s="281" t="s">
        <v>274</v>
      </c>
      <c r="T11" s="115"/>
      <c r="U11" s="115"/>
      <c r="V11" s="115"/>
      <c r="W11" s="115"/>
      <c r="X11" s="115"/>
      <c r="Y11" s="115"/>
      <c r="Z11" s="115"/>
      <c r="AA11" s="116"/>
      <c r="AB11" s="116"/>
      <c r="AC11" s="115"/>
      <c r="AD11" s="116"/>
      <c r="AE11" s="116"/>
      <c r="AF11" s="115"/>
      <c r="AG11" s="115"/>
      <c r="AH11" s="115"/>
      <c r="AI11" s="115"/>
      <c r="AJ11" s="115"/>
      <c r="AK11" s="115"/>
      <c r="AL11" s="115"/>
    </row>
    <row r="12" spans="1:38" s="47" customFormat="1" ht="18" customHeight="1" x14ac:dyDescent="0.3">
      <c r="B12" s="204"/>
      <c r="C12" s="203" t="s">
        <v>277</v>
      </c>
      <c r="D12" s="277" t="s">
        <v>124</v>
      </c>
      <c r="E12" s="278" t="s">
        <v>109</v>
      </c>
      <c r="F12" s="279" t="s">
        <v>282</v>
      </c>
      <c r="G12" s="417" t="s">
        <v>109</v>
      </c>
      <c r="H12" s="417" t="s">
        <v>109</v>
      </c>
      <c r="I12" s="417" t="s">
        <v>109</v>
      </c>
      <c r="J12" s="417"/>
      <c r="K12" s="417"/>
      <c r="L12" s="417"/>
      <c r="M12" s="417"/>
      <c r="N12" s="416"/>
      <c r="O12" s="417"/>
      <c r="P12" s="417" t="s">
        <v>109</v>
      </c>
      <c r="Q12" s="407" t="s">
        <v>5</v>
      </c>
      <c r="R12" s="280" t="s">
        <v>5</v>
      </c>
      <c r="S12" s="281" t="s">
        <v>274</v>
      </c>
      <c r="T12" s="115"/>
      <c r="U12" s="115"/>
      <c r="V12" s="115"/>
      <c r="W12" s="115"/>
      <c r="X12" s="115"/>
      <c r="Y12" s="115"/>
      <c r="Z12" s="115"/>
      <c r="AA12" s="116"/>
      <c r="AB12" s="116"/>
      <c r="AC12" s="115"/>
      <c r="AD12" s="116"/>
      <c r="AE12" s="116"/>
      <c r="AF12" s="115"/>
    </row>
    <row r="13" spans="1:38" ht="18" x14ac:dyDescent="0.3">
      <c r="B13" s="108"/>
      <c r="C13" s="194" t="s">
        <v>254</v>
      </c>
      <c r="D13" s="196" t="s">
        <v>124</v>
      </c>
      <c r="E13" s="196" t="s">
        <v>256</v>
      </c>
      <c r="F13" s="52" t="s">
        <v>258</v>
      </c>
      <c r="G13" s="415" t="s">
        <v>102</v>
      </c>
      <c r="H13" s="415" t="s">
        <v>99</v>
      </c>
      <c r="I13" s="415" t="s">
        <v>99</v>
      </c>
      <c r="J13" s="416"/>
      <c r="K13" s="415"/>
      <c r="L13" s="415"/>
      <c r="M13" s="415"/>
      <c r="N13" s="416"/>
      <c r="O13" s="415"/>
      <c r="P13" s="107" t="s">
        <v>4</v>
      </c>
      <c r="Q13" s="406">
        <v>20</v>
      </c>
      <c r="R13" s="54">
        <v>19.95</v>
      </c>
      <c r="S13" s="323" t="s">
        <v>173</v>
      </c>
      <c r="Z13" s="115"/>
      <c r="AA13" s="116"/>
      <c r="AB13" s="116"/>
      <c r="AC13" s="115"/>
      <c r="AD13" s="116"/>
      <c r="AE13" s="116"/>
      <c r="AF13" s="115"/>
    </row>
    <row r="14" spans="1:38" s="53" customFormat="1" ht="18" x14ac:dyDescent="0.3">
      <c r="A14" s="114"/>
      <c r="B14" s="108"/>
      <c r="C14" s="51" t="s">
        <v>255</v>
      </c>
      <c r="D14" s="196" t="s">
        <v>124</v>
      </c>
      <c r="E14" s="196" t="s">
        <v>257</v>
      </c>
      <c r="F14" s="52" t="s">
        <v>259</v>
      </c>
      <c r="G14" s="415" t="s">
        <v>102</v>
      </c>
      <c r="H14" s="415" t="s">
        <v>99</v>
      </c>
      <c r="I14" s="415" t="s">
        <v>99</v>
      </c>
      <c r="J14" s="416"/>
      <c r="K14" s="416"/>
      <c r="L14" s="415"/>
      <c r="M14" s="415"/>
      <c r="N14" s="416"/>
      <c r="O14" s="416"/>
      <c r="P14" s="107" t="s">
        <v>4</v>
      </c>
      <c r="Q14" s="406">
        <v>30</v>
      </c>
      <c r="R14" s="54">
        <v>29.95</v>
      </c>
      <c r="S14" s="323" t="s">
        <v>173</v>
      </c>
      <c r="T14" s="114"/>
      <c r="U14" s="114"/>
      <c r="V14" s="114"/>
      <c r="W14" s="114"/>
      <c r="X14" s="114"/>
      <c r="Y14" s="114"/>
      <c r="Z14" s="115"/>
      <c r="AA14" s="116"/>
      <c r="AB14" s="116"/>
      <c r="AC14" s="115"/>
      <c r="AD14" s="116"/>
      <c r="AE14" s="116"/>
      <c r="AF14" s="115"/>
      <c r="AG14" s="114"/>
      <c r="AH14" s="114"/>
      <c r="AI14" s="114"/>
      <c r="AJ14" s="114"/>
      <c r="AK14" s="114"/>
      <c r="AL14" s="114"/>
    </row>
    <row r="15" spans="1:38" s="53" customFormat="1" ht="18" x14ac:dyDescent="0.3">
      <c r="A15" s="114"/>
      <c r="B15" s="108"/>
      <c r="C15" s="51" t="s">
        <v>260</v>
      </c>
      <c r="D15" s="201" t="s">
        <v>124</v>
      </c>
      <c r="E15" s="196" t="s">
        <v>261</v>
      </c>
      <c r="F15" s="52" t="s">
        <v>261</v>
      </c>
      <c r="G15" s="415" t="s">
        <v>102</v>
      </c>
      <c r="H15" s="415" t="s">
        <v>99</v>
      </c>
      <c r="I15" s="107" t="s">
        <v>4</v>
      </c>
      <c r="J15" s="416"/>
      <c r="K15" s="415"/>
      <c r="L15" s="415"/>
      <c r="M15" s="415"/>
      <c r="N15" s="416"/>
      <c r="O15" s="416"/>
      <c r="P15" s="107" t="s">
        <v>4</v>
      </c>
      <c r="Q15" s="407" t="s">
        <v>5</v>
      </c>
      <c r="R15" s="54">
        <v>9.9499999999999993</v>
      </c>
      <c r="S15" s="323" t="s">
        <v>173</v>
      </c>
      <c r="T15" s="114"/>
      <c r="U15" s="114"/>
      <c r="V15" s="114"/>
      <c r="W15" s="114"/>
      <c r="X15" s="114"/>
      <c r="Y15" s="114"/>
      <c r="Z15" s="115"/>
      <c r="AA15" s="116"/>
      <c r="AB15" s="116"/>
      <c r="AC15" s="115"/>
      <c r="AD15" s="116"/>
      <c r="AE15" s="116"/>
      <c r="AF15" s="115"/>
      <c r="AG15" s="114"/>
      <c r="AH15" s="114"/>
      <c r="AI15" s="114"/>
      <c r="AJ15" s="114"/>
      <c r="AK15" s="114"/>
      <c r="AL15" s="114"/>
    </row>
    <row r="16" spans="1:38" s="58" customFormat="1" ht="18" customHeight="1" x14ac:dyDescent="0.3">
      <c r="A16" s="115"/>
      <c r="B16" s="109"/>
      <c r="C16" s="203" t="s">
        <v>264</v>
      </c>
      <c r="D16" s="277" t="s">
        <v>124</v>
      </c>
      <c r="E16" s="278" t="s">
        <v>265</v>
      </c>
      <c r="F16" s="279" t="s">
        <v>262</v>
      </c>
      <c r="G16" s="417" t="s">
        <v>109</v>
      </c>
      <c r="H16" s="417" t="s">
        <v>109</v>
      </c>
      <c r="I16" s="417" t="s">
        <v>109</v>
      </c>
      <c r="J16" s="417"/>
      <c r="K16" s="417"/>
      <c r="L16" s="417"/>
      <c r="M16" s="417"/>
      <c r="N16" s="416"/>
      <c r="O16" s="417"/>
      <c r="P16" s="417" t="s">
        <v>109</v>
      </c>
      <c r="Q16" s="407" t="s">
        <v>5</v>
      </c>
      <c r="R16" s="280" t="s">
        <v>5</v>
      </c>
      <c r="S16" s="281" t="s">
        <v>267</v>
      </c>
      <c r="T16" s="115"/>
      <c r="U16" s="115"/>
      <c r="V16" s="115"/>
      <c r="W16" s="115"/>
      <c r="X16" s="115"/>
      <c r="Y16" s="115"/>
      <c r="Z16" s="115"/>
      <c r="AA16" s="116"/>
      <c r="AB16" s="116"/>
      <c r="AC16" s="115"/>
      <c r="AD16" s="116"/>
      <c r="AE16" s="116"/>
      <c r="AF16" s="115"/>
      <c r="AG16" s="115"/>
      <c r="AH16" s="115"/>
      <c r="AI16" s="115"/>
      <c r="AJ16" s="115"/>
      <c r="AK16" s="115"/>
      <c r="AL16" s="115"/>
    </row>
    <row r="17" spans="1:38" s="58" customFormat="1" ht="18" customHeight="1" x14ac:dyDescent="0.3">
      <c r="A17" s="115"/>
      <c r="B17" s="109"/>
      <c r="C17" s="203" t="s">
        <v>268</v>
      </c>
      <c r="D17" s="277" t="s">
        <v>124</v>
      </c>
      <c r="E17" s="278" t="s">
        <v>266</v>
      </c>
      <c r="F17" s="279" t="s">
        <v>272</v>
      </c>
      <c r="G17" s="417" t="s">
        <v>109</v>
      </c>
      <c r="H17" s="417" t="s">
        <v>109</v>
      </c>
      <c r="I17" s="417" t="s">
        <v>109</v>
      </c>
      <c r="J17" s="417"/>
      <c r="K17" s="417"/>
      <c r="L17" s="417"/>
      <c r="M17" s="417"/>
      <c r="N17" s="416"/>
      <c r="O17" s="417"/>
      <c r="P17" s="417" t="s">
        <v>109</v>
      </c>
      <c r="Q17" s="407" t="s">
        <v>5</v>
      </c>
      <c r="R17" s="280" t="s">
        <v>5</v>
      </c>
      <c r="S17" s="281" t="s">
        <v>267</v>
      </c>
      <c r="T17" s="115"/>
      <c r="U17" s="115"/>
      <c r="V17" s="115"/>
      <c r="W17" s="115"/>
      <c r="X17" s="115"/>
      <c r="Y17" s="115"/>
      <c r="Z17" s="115"/>
      <c r="AA17" s="116"/>
      <c r="AB17" s="116"/>
      <c r="AC17" s="115"/>
      <c r="AD17" s="116"/>
      <c r="AE17" s="116"/>
      <c r="AF17" s="115"/>
      <c r="AG17" s="115"/>
      <c r="AH17" s="115"/>
      <c r="AI17" s="115"/>
      <c r="AJ17" s="115"/>
      <c r="AK17" s="115"/>
      <c r="AL17" s="115"/>
    </row>
    <row r="18" spans="1:38" s="47" customFormat="1" ht="18" customHeight="1" x14ac:dyDescent="0.3">
      <c r="B18" s="204"/>
      <c r="C18" s="203" t="s">
        <v>269</v>
      </c>
      <c r="D18" s="277" t="s">
        <v>124</v>
      </c>
      <c r="E18" s="278" t="s">
        <v>270</v>
      </c>
      <c r="F18" s="279" t="s">
        <v>271</v>
      </c>
      <c r="G18" s="417" t="s">
        <v>109</v>
      </c>
      <c r="H18" s="417" t="s">
        <v>109</v>
      </c>
      <c r="I18" s="417" t="s">
        <v>109</v>
      </c>
      <c r="J18" s="417"/>
      <c r="K18" s="417"/>
      <c r="L18" s="417"/>
      <c r="M18" s="417"/>
      <c r="N18" s="416"/>
      <c r="O18" s="417"/>
      <c r="P18" s="417" t="s">
        <v>109</v>
      </c>
      <c r="Q18" s="407" t="s">
        <v>5</v>
      </c>
      <c r="R18" s="280" t="s">
        <v>5</v>
      </c>
      <c r="S18" s="281" t="s">
        <v>267</v>
      </c>
      <c r="T18" s="115"/>
      <c r="U18" s="115"/>
      <c r="V18" s="115"/>
      <c r="W18" s="115"/>
      <c r="X18" s="115"/>
      <c r="Y18" s="115"/>
      <c r="Z18" s="115"/>
      <c r="AA18" s="116"/>
      <c r="AB18" s="116"/>
      <c r="AC18" s="115"/>
      <c r="AD18" s="116"/>
      <c r="AE18" s="116"/>
      <c r="AF18" s="115"/>
    </row>
    <row r="19" spans="1:38" s="53" customFormat="1" ht="18" hidden="1" outlineLevel="1" x14ac:dyDescent="0.3">
      <c r="A19" s="114"/>
      <c r="B19" s="338"/>
      <c r="C19" s="339" t="s">
        <v>198</v>
      </c>
      <c r="D19" s="340" t="s">
        <v>124</v>
      </c>
      <c r="E19" s="340" t="s">
        <v>192</v>
      </c>
      <c r="F19" s="341" t="s">
        <v>193</v>
      </c>
      <c r="G19" s="418" t="s">
        <v>99</v>
      </c>
      <c r="H19" s="418" t="s">
        <v>99</v>
      </c>
      <c r="I19" s="418" t="s">
        <v>99</v>
      </c>
      <c r="J19" s="418"/>
      <c r="K19" s="418"/>
      <c r="L19" s="418"/>
      <c r="M19" s="419"/>
      <c r="N19" s="420"/>
      <c r="O19" s="418"/>
      <c r="P19" s="418" t="s">
        <v>99</v>
      </c>
      <c r="Q19" s="408">
        <v>159.99</v>
      </c>
      <c r="R19" s="342">
        <v>159.99</v>
      </c>
      <c r="S19" s="343" t="s">
        <v>194</v>
      </c>
      <c r="T19" s="115"/>
      <c r="U19" s="115"/>
      <c r="V19" s="115"/>
      <c r="W19" s="115"/>
      <c r="X19" s="115"/>
      <c r="Y19" s="115"/>
      <c r="Z19" s="115"/>
      <c r="AA19" s="116"/>
      <c r="AB19" s="116"/>
      <c r="AC19" s="115"/>
      <c r="AD19" s="116"/>
      <c r="AE19" s="116"/>
      <c r="AF19" s="115"/>
      <c r="AG19" s="114"/>
      <c r="AH19" s="114"/>
      <c r="AI19" s="114"/>
      <c r="AJ19" s="114"/>
      <c r="AK19" s="114"/>
      <c r="AL19" s="114"/>
    </row>
    <row r="20" spans="1:38" s="47" customFormat="1" ht="17.25" collapsed="1" x14ac:dyDescent="0.3">
      <c r="A20" s="112"/>
      <c r="B20" s="179"/>
      <c r="C20" s="180" t="s">
        <v>175</v>
      </c>
      <c r="D20" s="202" t="s">
        <v>176</v>
      </c>
      <c r="E20" s="202" t="s">
        <v>125</v>
      </c>
      <c r="F20" s="181" t="s">
        <v>123</v>
      </c>
      <c r="G20" s="421" t="s">
        <v>102</v>
      </c>
      <c r="H20" s="421" t="s">
        <v>99</v>
      </c>
      <c r="I20" s="421" t="s">
        <v>99</v>
      </c>
      <c r="J20" s="421"/>
      <c r="K20" s="421"/>
      <c r="L20" s="421"/>
      <c r="M20" s="421"/>
      <c r="N20" s="421"/>
      <c r="O20" s="421"/>
      <c r="P20" s="421" t="s">
        <v>99</v>
      </c>
      <c r="Q20" s="409">
        <v>39.950000000000003</v>
      </c>
      <c r="R20" s="182">
        <v>39.950000000000003</v>
      </c>
      <c r="S20" s="183" t="s">
        <v>177</v>
      </c>
      <c r="T20" s="115"/>
      <c r="U20" s="115"/>
      <c r="V20" s="115"/>
      <c r="W20" s="115"/>
      <c r="X20" s="115"/>
      <c r="Y20" s="115"/>
      <c r="Z20" s="115"/>
      <c r="AA20" s="116"/>
      <c r="AB20" s="116"/>
      <c r="AC20" s="115"/>
      <c r="AD20" s="116"/>
      <c r="AE20" s="116"/>
      <c r="AF20" s="115"/>
      <c r="AG20" s="112"/>
      <c r="AH20" s="112"/>
      <c r="AI20" s="112"/>
      <c r="AJ20" s="112"/>
      <c r="AK20" s="112"/>
      <c r="AL20" s="112"/>
    </row>
    <row r="21" spans="1:38" s="47" customFormat="1" ht="17.25" x14ac:dyDescent="0.3">
      <c r="A21" s="112"/>
      <c r="B21" s="179"/>
      <c r="C21" s="180" t="s">
        <v>178</v>
      </c>
      <c r="D21" s="202" t="s">
        <v>176</v>
      </c>
      <c r="E21" s="202" t="s">
        <v>125</v>
      </c>
      <c r="F21" s="181" t="s">
        <v>123</v>
      </c>
      <c r="G21" s="421" t="s">
        <v>102</v>
      </c>
      <c r="H21" s="421" t="s">
        <v>99</v>
      </c>
      <c r="I21" s="421" t="s">
        <v>99</v>
      </c>
      <c r="J21" s="421"/>
      <c r="K21" s="421"/>
      <c r="L21" s="421"/>
      <c r="M21" s="421"/>
      <c r="N21" s="421"/>
      <c r="O21" s="421"/>
      <c r="P21" s="421" t="s">
        <v>99</v>
      </c>
      <c r="Q21" s="409">
        <v>34.950000000000003</v>
      </c>
      <c r="R21" s="182">
        <v>34.950000000000003</v>
      </c>
      <c r="S21" s="183" t="s">
        <v>177</v>
      </c>
      <c r="T21" s="115"/>
      <c r="U21" s="115"/>
      <c r="V21" s="115"/>
      <c r="W21" s="115"/>
      <c r="X21" s="115"/>
      <c r="Y21" s="115"/>
      <c r="Z21" s="115"/>
      <c r="AA21" s="116"/>
      <c r="AB21" s="116"/>
      <c r="AC21" s="115"/>
      <c r="AD21" s="116"/>
      <c r="AE21" s="116"/>
      <c r="AF21" s="115"/>
      <c r="AG21" s="112"/>
      <c r="AH21" s="112"/>
      <c r="AI21" s="112"/>
      <c r="AJ21" s="112"/>
      <c r="AK21" s="112"/>
      <c r="AL21" s="112"/>
    </row>
    <row r="22" spans="1:38" s="47" customFormat="1" ht="17.25" x14ac:dyDescent="0.3">
      <c r="A22" s="112"/>
      <c r="B22" s="179"/>
      <c r="C22" s="180" t="s">
        <v>179</v>
      </c>
      <c r="D22" s="202" t="s">
        <v>176</v>
      </c>
      <c r="E22" s="202" t="s">
        <v>125</v>
      </c>
      <c r="F22" s="181" t="s">
        <v>180</v>
      </c>
      <c r="G22" s="421" t="s">
        <v>102</v>
      </c>
      <c r="H22" s="421" t="s">
        <v>99</v>
      </c>
      <c r="I22" s="421" t="s">
        <v>99</v>
      </c>
      <c r="J22" s="421"/>
      <c r="K22" s="421"/>
      <c r="L22" s="421"/>
      <c r="M22" s="421"/>
      <c r="N22" s="421"/>
      <c r="O22" s="421"/>
      <c r="P22" s="421" t="s">
        <v>99</v>
      </c>
      <c r="Q22" s="409">
        <v>54.95</v>
      </c>
      <c r="R22" s="182">
        <v>54.95</v>
      </c>
      <c r="S22" s="183" t="s">
        <v>177</v>
      </c>
      <c r="T22" s="115"/>
      <c r="U22" s="115"/>
      <c r="V22" s="115"/>
      <c r="W22" s="115"/>
      <c r="X22" s="115"/>
      <c r="Y22" s="115"/>
      <c r="Z22" s="115"/>
      <c r="AA22" s="116"/>
      <c r="AB22" s="116"/>
      <c r="AC22" s="115"/>
      <c r="AD22" s="116"/>
      <c r="AE22" s="116"/>
      <c r="AF22" s="115"/>
      <c r="AG22" s="112"/>
      <c r="AH22" s="112"/>
      <c r="AI22" s="112"/>
      <c r="AJ22" s="112"/>
      <c r="AK22" s="112"/>
      <c r="AL22" s="112"/>
    </row>
    <row r="23" spans="1:38" s="47" customFormat="1" ht="17.25" x14ac:dyDescent="0.3">
      <c r="A23" s="112"/>
      <c r="B23" s="179"/>
      <c r="C23" s="180" t="s">
        <v>181</v>
      </c>
      <c r="D23" s="202" t="s">
        <v>176</v>
      </c>
      <c r="E23" s="202" t="s">
        <v>125</v>
      </c>
      <c r="F23" s="181" t="s">
        <v>180</v>
      </c>
      <c r="G23" s="421" t="s">
        <v>102</v>
      </c>
      <c r="H23" s="421" t="s">
        <v>99</v>
      </c>
      <c r="I23" s="421" t="s">
        <v>99</v>
      </c>
      <c r="J23" s="421"/>
      <c r="K23" s="421"/>
      <c r="L23" s="421"/>
      <c r="M23" s="421"/>
      <c r="N23" s="421"/>
      <c r="O23" s="421"/>
      <c r="P23" s="421" t="s">
        <v>99</v>
      </c>
      <c r="Q23" s="409">
        <v>44.95</v>
      </c>
      <c r="R23" s="182">
        <v>44.95</v>
      </c>
      <c r="S23" s="183" t="s">
        <v>177</v>
      </c>
      <c r="T23" s="115"/>
      <c r="U23" s="115"/>
      <c r="V23" s="115"/>
      <c r="W23" s="115"/>
      <c r="X23" s="115"/>
      <c r="Y23" s="115"/>
      <c r="Z23" s="115"/>
      <c r="AA23" s="116"/>
      <c r="AB23" s="116"/>
      <c r="AC23" s="115"/>
      <c r="AD23" s="116"/>
      <c r="AE23" s="116"/>
      <c r="AF23" s="115"/>
      <c r="AG23" s="112"/>
      <c r="AH23" s="112"/>
      <c r="AI23" s="112"/>
      <c r="AJ23" s="112"/>
      <c r="AK23" s="112"/>
      <c r="AL23" s="112"/>
    </row>
    <row r="24" spans="1:38" s="47" customFormat="1" ht="17.25" x14ac:dyDescent="0.3">
      <c r="A24" s="112"/>
      <c r="B24" s="179"/>
      <c r="C24" s="180" t="s">
        <v>182</v>
      </c>
      <c r="D24" s="202" t="s">
        <v>124</v>
      </c>
      <c r="E24" s="202" t="s">
        <v>174</v>
      </c>
      <c r="F24" s="181" t="s">
        <v>183</v>
      </c>
      <c r="G24" s="421" t="s">
        <v>102</v>
      </c>
      <c r="H24" s="421" t="s">
        <v>99</v>
      </c>
      <c r="I24" s="421" t="s">
        <v>99</v>
      </c>
      <c r="J24" s="421"/>
      <c r="K24" s="421"/>
      <c r="L24" s="421"/>
      <c r="M24" s="421"/>
      <c r="N24" s="421"/>
      <c r="O24" s="421"/>
      <c r="P24" s="421" t="s">
        <v>99</v>
      </c>
      <c r="Q24" s="409">
        <v>39.950000000000003</v>
      </c>
      <c r="R24" s="182">
        <v>39.950000000000003</v>
      </c>
      <c r="S24" s="183" t="s">
        <v>177</v>
      </c>
      <c r="T24" s="115"/>
      <c r="U24" s="115"/>
      <c r="V24" s="115"/>
      <c r="W24" s="115"/>
      <c r="X24" s="115"/>
      <c r="Y24" s="115"/>
      <c r="Z24" s="115"/>
      <c r="AA24" s="116"/>
      <c r="AB24" s="116"/>
      <c r="AC24" s="115"/>
      <c r="AD24" s="116"/>
      <c r="AE24" s="116"/>
      <c r="AF24" s="115"/>
      <c r="AG24" s="112"/>
      <c r="AH24" s="112"/>
      <c r="AI24" s="112"/>
      <c r="AJ24" s="112"/>
      <c r="AK24" s="112"/>
      <c r="AL24" s="112"/>
    </row>
    <row r="25" spans="1:38" s="47" customFormat="1" ht="17.25" x14ac:dyDescent="0.3">
      <c r="A25" s="112"/>
      <c r="B25" s="179"/>
      <c r="C25" s="180" t="s">
        <v>184</v>
      </c>
      <c r="D25" s="202" t="s">
        <v>124</v>
      </c>
      <c r="E25" s="202" t="s">
        <v>174</v>
      </c>
      <c r="F25" s="181" t="s">
        <v>183</v>
      </c>
      <c r="G25" s="421" t="s">
        <v>102</v>
      </c>
      <c r="H25" s="421" t="s">
        <v>99</v>
      </c>
      <c r="I25" s="421" t="s">
        <v>99</v>
      </c>
      <c r="J25" s="421"/>
      <c r="K25" s="421"/>
      <c r="L25" s="421"/>
      <c r="M25" s="421"/>
      <c r="N25" s="421"/>
      <c r="O25" s="421"/>
      <c r="P25" s="421" t="s">
        <v>99</v>
      </c>
      <c r="Q25" s="409">
        <v>39.950000000000003</v>
      </c>
      <c r="R25" s="182">
        <v>39.950000000000003</v>
      </c>
      <c r="S25" s="183" t="s">
        <v>177</v>
      </c>
      <c r="T25" s="115"/>
      <c r="U25" s="115"/>
      <c r="V25" s="115"/>
      <c r="W25" s="115"/>
      <c r="X25" s="115"/>
      <c r="Y25" s="115"/>
      <c r="Z25" s="115"/>
      <c r="AA25" s="116"/>
      <c r="AB25" s="116"/>
      <c r="AC25" s="115"/>
      <c r="AD25" s="116"/>
      <c r="AE25" s="116"/>
      <c r="AF25" s="115"/>
      <c r="AG25" s="112"/>
      <c r="AH25" s="112"/>
      <c r="AI25" s="112"/>
      <c r="AJ25" s="112"/>
      <c r="AK25" s="112"/>
      <c r="AL25" s="112"/>
    </row>
    <row r="26" spans="1:38" s="47" customFormat="1" ht="17.25" x14ac:dyDescent="0.3">
      <c r="A26" s="112"/>
      <c r="B26" s="179"/>
      <c r="C26" s="180" t="s">
        <v>290</v>
      </c>
      <c r="D26" s="197" t="s">
        <v>124</v>
      </c>
      <c r="E26" s="202" t="s">
        <v>174</v>
      </c>
      <c r="F26" s="181" t="s">
        <v>183</v>
      </c>
      <c r="G26" s="421" t="s">
        <v>102</v>
      </c>
      <c r="H26" s="421" t="s">
        <v>99</v>
      </c>
      <c r="I26" s="421" t="s">
        <v>99</v>
      </c>
      <c r="J26" s="421"/>
      <c r="K26" s="421"/>
      <c r="L26" s="421"/>
      <c r="M26" s="421"/>
      <c r="N26" s="421"/>
      <c r="O26" s="421"/>
      <c r="P26" s="421" t="s">
        <v>99</v>
      </c>
      <c r="Q26" s="409">
        <v>44.95</v>
      </c>
      <c r="R26" s="182">
        <v>44.95</v>
      </c>
      <c r="S26" s="183" t="s">
        <v>177</v>
      </c>
      <c r="T26" s="115"/>
      <c r="U26" s="115"/>
      <c r="V26" s="115"/>
      <c r="W26" s="115"/>
      <c r="X26" s="115"/>
      <c r="Y26" s="115"/>
      <c r="Z26" s="115"/>
      <c r="AA26" s="116"/>
      <c r="AB26" s="116"/>
      <c r="AC26" s="115"/>
      <c r="AD26" s="116"/>
      <c r="AE26" s="116"/>
      <c r="AF26" s="115"/>
      <c r="AG26" s="112"/>
      <c r="AH26" s="112"/>
      <c r="AI26" s="112"/>
      <c r="AJ26" s="112"/>
      <c r="AK26" s="112"/>
      <c r="AL26" s="112"/>
    </row>
    <row r="27" spans="1:38" s="47" customFormat="1" ht="17.25" x14ac:dyDescent="0.3">
      <c r="A27" s="112"/>
      <c r="B27" s="179"/>
      <c r="C27" s="180" t="s">
        <v>286</v>
      </c>
      <c r="D27" s="202" t="s">
        <v>124</v>
      </c>
      <c r="E27" s="202" t="s">
        <v>125</v>
      </c>
      <c r="F27" s="181" t="s">
        <v>185</v>
      </c>
      <c r="G27" s="421" t="s">
        <v>102</v>
      </c>
      <c r="H27" s="421" t="s">
        <v>99</v>
      </c>
      <c r="I27" s="421" t="s">
        <v>99</v>
      </c>
      <c r="J27" s="421"/>
      <c r="K27" s="421"/>
      <c r="L27" s="421"/>
      <c r="M27" s="421"/>
      <c r="N27" s="421"/>
      <c r="O27" s="421"/>
      <c r="P27" s="421" t="s">
        <v>99</v>
      </c>
      <c r="Q27" s="409">
        <v>14.95</v>
      </c>
      <c r="R27" s="182">
        <v>14.95</v>
      </c>
      <c r="S27" s="183" t="s">
        <v>177</v>
      </c>
      <c r="T27" s="115"/>
      <c r="U27" s="115"/>
      <c r="V27" s="115"/>
      <c r="W27" s="115"/>
      <c r="X27" s="115"/>
      <c r="Y27" s="115"/>
      <c r="Z27" s="115"/>
      <c r="AA27" s="116"/>
      <c r="AB27" s="116"/>
      <c r="AC27" s="115"/>
      <c r="AD27" s="116"/>
      <c r="AE27" s="116"/>
      <c r="AF27" s="115"/>
      <c r="AG27" s="112"/>
      <c r="AH27" s="112"/>
      <c r="AI27" s="112"/>
      <c r="AJ27" s="112"/>
      <c r="AK27" s="112"/>
      <c r="AL27" s="112"/>
    </row>
    <row r="28" spans="1:38" s="47" customFormat="1" ht="17.25" x14ac:dyDescent="0.3">
      <c r="A28" s="112"/>
      <c r="B28" s="179"/>
      <c r="C28" s="180" t="s">
        <v>287</v>
      </c>
      <c r="D28" s="202" t="s">
        <v>124</v>
      </c>
      <c r="E28" s="202" t="s">
        <v>125</v>
      </c>
      <c r="F28" s="181" t="s">
        <v>185</v>
      </c>
      <c r="G28" s="421" t="s">
        <v>102</v>
      </c>
      <c r="H28" s="421" t="s">
        <v>99</v>
      </c>
      <c r="I28" s="421" t="s">
        <v>99</v>
      </c>
      <c r="J28" s="421"/>
      <c r="K28" s="421"/>
      <c r="L28" s="421"/>
      <c r="M28" s="421"/>
      <c r="N28" s="421"/>
      <c r="O28" s="421"/>
      <c r="P28" s="421" t="s">
        <v>99</v>
      </c>
      <c r="Q28" s="409">
        <v>14.95</v>
      </c>
      <c r="R28" s="182">
        <v>14.95</v>
      </c>
      <c r="S28" s="183" t="s">
        <v>177</v>
      </c>
      <c r="T28" s="115"/>
      <c r="U28" s="115"/>
      <c r="V28" s="115"/>
      <c r="W28" s="115"/>
      <c r="X28" s="115"/>
      <c r="Y28" s="115"/>
      <c r="Z28" s="115"/>
      <c r="AA28" s="116"/>
      <c r="AB28" s="116"/>
      <c r="AC28" s="115"/>
      <c r="AD28" s="116"/>
      <c r="AE28" s="116"/>
      <c r="AF28" s="115"/>
      <c r="AG28" s="112"/>
      <c r="AH28" s="112"/>
      <c r="AI28" s="112"/>
      <c r="AJ28" s="112"/>
      <c r="AK28" s="112"/>
      <c r="AL28" s="112"/>
    </row>
    <row r="29" spans="1:38" s="47" customFormat="1" ht="17.25" x14ac:dyDescent="0.3">
      <c r="A29" s="112"/>
      <c r="B29" s="179"/>
      <c r="C29" s="180" t="s">
        <v>284</v>
      </c>
      <c r="D29" s="202" t="s">
        <v>124</v>
      </c>
      <c r="E29" s="202" t="s">
        <v>125</v>
      </c>
      <c r="F29" s="181" t="s">
        <v>285</v>
      </c>
      <c r="G29" s="421" t="s">
        <v>102</v>
      </c>
      <c r="H29" s="421" t="s">
        <v>99</v>
      </c>
      <c r="I29" s="421" t="s">
        <v>99</v>
      </c>
      <c r="J29" s="421"/>
      <c r="K29" s="421"/>
      <c r="L29" s="421"/>
      <c r="M29" s="421"/>
      <c r="N29" s="421"/>
      <c r="O29" s="421"/>
      <c r="P29" s="421" t="s">
        <v>99</v>
      </c>
      <c r="Q29" s="409">
        <v>14.95</v>
      </c>
      <c r="R29" s="182">
        <v>14.95</v>
      </c>
      <c r="S29" s="183" t="s">
        <v>177</v>
      </c>
      <c r="T29" s="115"/>
      <c r="U29" s="115"/>
      <c r="V29" s="115"/>
      <c r="W29" s="115"/>
      <c r="X29" s="115"/>
      <c r="Y29" s="115"/>
      <c r="Z29" s="115"/>
      <c r="AA29" s="116"/>
      <c r="AB29" s="116"/>
      <c r="AC29" s="115"/>
      <c r="AD29" s="116"/>
      <c r="AE29" s="116"/>
      <c r="AF29" s="115"/>
      <c r="AG29" s="112"/>
      <c r="AH29" s="112"/>
      <c r="AI29" s="112"/>
      <c r="AJ29" s="112"/>
      <c r="AK29" s="112"/>
      <c r="AL29" s="112"/>
    </row>
    <row r="30" spans="1:38" s="47" customFormat="1" ht="17.25" x14ac:dyDescent="0.3">
      <c r="A30" s="112"/>
      <c r="B30" s="179"/>
      <c r="C30" s="180" t="s">
        <v>288</v>
      </c>
      <c r="D30" s="202" t="s">
        <v>124</v>
      </c>
      <c r="E30" s="202" t="s">
        <v>125</v>
      </c>
      <c r="F30" s="181" t="s">
        <v>285</v>
      </c>
      <c r="G30" s="421" t="s">
        <v>102</v>
      </c>
      <c r="H30" s="421" t="s">
        <v>99</v>
      </c>
      <c r="I30" s="421" t="s">
        <v>99</v>
      </c>
      <c r="J30" s="421"/>
      <c r="K30" s="421"/>
      <c r="L30" s="421"/>
      <c r="M30" s="421"/>
      <c r="N30" s="421"/>
      <c r="O30" s="421"/>
      <c r="P30" s="421" t="s">
        <v>99</v>
      </c>
      <c r="Q30" s="409">
        <v>17.95</v>
      </c>
      <c r="R30" s="182">
        <v>17.95</v>
      </c>
      <c r="S30" s="183" t="s">
        <v>177</v>
      </c>
      <c r="T30" s="115"/>
      <c r="U30" s="115"/>
      <c r="V30" s="115"/>
      <c r="W30" s="115"/>
      <c r="X30" s="115"/>
      <c r="Y30" s="115"/>
      <c r="Z30" s="115"/>
      <c r="AA30" s="116"/>
      <c r="AB30" s="116"/>
      <c r="AC30" s="115"/>
      <c r="AD30" s="116"/>
      <c r="AE30" s="116"/>
      <c r="AF30" s="115"/>
      <c r="AG30" s="112"/>
      <c r="AH30" s="112"/>
      <c r="AI30" s="112"/>
      <c r="AJ30" s="112"/>
      <c r="AK30" s="112"/>
      <c r="AL30" s="112"/>
    </row>
    <row r="31" spans="1:38" s="47" customFormat="1" ht="17.25" x14ac:dyDescent="0.3">
      <c r="A31" s="112"/>
      <c r="B31" s="179"/>
      <c r="C31" s="180" t="s">
        <v>289</v>
      </c>
      <c r="D31" s="202" t="s">
        <v>124</v>
      </c>
      <c r="E31" s="197" t="s">
        <v>125</v>
      </c>
      <c r="F31" s="181" t="s">
        <v>285</v>
      </c>
      <c r="G31" s="421" t="s">
        <v>102</v>
      </c>
      <c r="H31" s="421" t="s">
        <v>99</v>
      </c>
      <c r="I31" s="421" t="s">
        <v>99</v>
      </c>
      <c r="J31" s="421"/>
      <c r="K31" s="421"/>
      <c r="L31" s="421"/>
      <c r="M31" s="421"/>
      <c r="N31" s="421"/>
      <c r="O31" s="421"/>
      <c r="P31" s="421" t="s">
        <v>99</v>
      </c>
      <c r="Q31" s="409">
        <v>19.95</v>
      </c>
      <c r="R31" s="182">
        <v>19.95</v>
      </c>
      <c r="S31" s="183" t="s">
        <v>177</v>
      </c>
      <c r="T31" s="115"/>
      <c r="U31" s="115"/>
      <c r="V31" s="115"/>
      <c r="W31" s="115"/>
      <c r="X31" s="115"/>
      <c r="Y31" s="115"/>
      <c r="Z31" s="115"/>
      <c r="AA31" s="116"/>
      <c r="AB31" s="116"/>
      <c r="AC31" s="115"/>
      <c r="AD31" s="116"/>
      <c r="AE31" s="116"/>
      <c r="AF31" s="115"/>
      <c r="AG31" s="112"/>
      <c r="AH31" s="112"/>
      <c r="AI31" s="112"/>
      <c r="AJ31" s="112"/>
      <c r="AK31" s="112"/>
      <c r="AL31" s="112"/>
    </row>
    <row r="32" spans="1:38" s="47" customFormat="1" ht="17.25" x14ac:dyDescent="0.3">
      <c r="A32" s="112"/>
      <c r="B32" s="179"/>
      <c r="C32" s="180" t="s">
        <v>291</v>
      </c>
      <c r="D32" s="197" t="s">
        <v>124</v>
      </c>
      <c r="E32" s="197" t="s">
        <v>174</v>
      </c>
      <c r="F32" s="181" t="s">
        <v>285</v>
      </c>
      <c r="G32" s="421" t="s">
        <v>102</v>
      </c>
      <c r="H32" s="421" t="s">
        <v>99</v>
      </c>
      <c r="I32" s="421" t="s">
        <v>99</v>
      </c>
      <c r="J32" s="421"/>
      <c r="K32" s="421"/>
      <c r="L32" s="421"/>
      <c r="M32" s="421"/>
      <c r="N32" s="421"/>
      <c r="O32" s="421"/>
      <c r="P32" s="421" t="s">
        <v>99</v>
      </c>
      <c r="Q32" s="409">
        <v>17.95</v>
      </c>
      <c r="R32" s="182">
        <v>17.95</v>
      </c>
      <c r="S32" s="183" t="s">
        <v>177</v>
      </c>
      <c r="T32" s="115"/>
      <c r="U32" s="115"/>
      <c r="V32" s="115"/>
      <c r="W32" s="115"/>
      <c r="X32" s="115"/>
      <c r="Y32" s="115"/>
      <c r="Z32" s="115"/>
      <c r="AA32" s="116"/>
      <c r="AB32" s="116"/>
      <c r="AC32" s="115"/>
      <c r="AD32" s="116"/>
      <c r="AE32" s="116"/>
      <c r="AF32" s="115"/>
      <c r="AG32" s="112"/>
      <c r="AH32" s="112"/>
      <c r="AI32" s="112"/>
      <c r="AJ32" s="112"/>
      <c r="AK32" s="112"/>
      <c r="AL32" s="112"/>
    </row>
    <row r="33" spans="1:38" s="47" customFormat="1" ht="17.25" x14ac:dyDescent="0.3">
      <c r="A33" s="112"/>
      <c r="B33" s="179"/>
      <c r="C33" s="180" t="s">
        <v>292</v>
      </c>
      <c r="D33" s="197" t="s">
        <v>124</v>
      </c>
      <c r="E33" s="197" t="s">
        <v>174</v>
      </c>
      <c r="F33" s="181" t="s">
        <v>285</v>
      </c>
      <c r="G33" s="421" t="s">
        <v>102</v>
      </c>
      <c r="H33" s="421" t="s">
        <v>99</v>
      </c>
      <c r="I33" s="421" t="s">
        <v>99</v>
      </c>
      <c r="J33" s="421"/>
      <c r="K33" s="421"/>
      <c r="L33" s="421"/>
      <c r="M33" s="421"/>
      <c r="N33" s="421"/>
      <c r="O33" s="421"/>
      <c r="P33" s="421" t="s">
        <v>99</v>
      </c>
      <c r="Q33" s="409">
        <v>17.95</v>
      </c>
      <c r="R33" s="182">
        <v>17.95</v>
      </c>
      <c r="S33" s="183" t="s">
        <v>177</v>
      </c>
      <c r="T33" s="115"/>
      <c r="U33" s="115"/>
      <c r="V33" s="115"/>
      <c r="W33" s="115"/>
      <c r="X33" s="115"/>
      <c r="Y33" s="115"/>
      <c r="Z33" s="115"/>
      <c r="AA33" s="116"/>
      <c r="AB33" s="116"/>
      <c r="AC33" s="115"/>
      <c r="AD33" s="116"/>
      <c r="AE33" s="116"/>
      <c r="AF33" s="115"/>
      <c r="AG33" s="112"/>
      <c r="AH33" s="112"/>
      <c r="AI33" s="112"/>
      <c r="AJ33" s="112"/>
      <c r="AK33" s="112"/>
      <c r="AL33" s="112"/>
    </row>
    <row r="34" spans="1:38" s="47" customFormat="1" ht="17.25" x14ac:dyDescent="0.3">
      <c r="A34" s="112"/>
      <c r="B34" s="179"/>
      <c r="C34" s="180" t="s">
        <v>293</v>
      </c>
      <c r="D34" s="197" t="s">
        <v>124</v>
      </c>
      <c r="E34" s="202" t="s">
        <v>174</v>
      </c>
      <c r="F34" s="181" t="s">
        <v>285</v>
      </c>
      <c r="G34" s="421" t="s">
        <v>102</v>
      </c>
      <c r="H34" s="421" t="s">
        <v>99</v>
      </c>
      <c r="I34" s="421" t="s">
        <v>99</v>
      </c>
      <c r="J34" s="421"/>
      <c r="K34" s="421"/>
      <c r="L34" s="421"/>
      <c r="M34" s="421"/>
      <c r="N34" s="421"/>
      <c r="O34" s="421"/>
      <c r="P34" s="421" t="s">
        <v>99</v>
      </c>
      <c r="Q34" s="409">
        <v>17.95</v>
      </c>
      <c r="R34" s="182">
        <v>17.95</v>
      </c>
      <c r="S34" s="183" t="s">
        <v>177</v>
      </c>
      <c r="T34" s="115"/>
      <c r="U34" s="115"/>
      <c r="V34" s="115"/>
      <c r="W34" s="115"/>
      <c r="X34" s="115"/>
      <c r="Y34" s="115"/>
      <c r="Z34" s="115"/>
      <c r="AA34" s="116"/>
      <c r="AB34" s="116"/>
      <c r="AC34" s="115"/>
      <c r="AD34" s="116"/>
      <c r="AE34" s="116"/>
      <c r="AF34" s="115"/>
      <c r="AG34" s="112"/>
      <c r="AH34" s="112"/>
      <c r="AI34" s="112"/>
      <c r="AJ34" s="112"/>
      <c r="AK34" s="112"/>
      <c r="AL34" s="112"/>
    </row>
    <row r="35" spans="1:38" s="47" customFormat="1" ht="17.25" x14ac:dyDescent="0.3">
      <c r="A35" s="112"/>
      <c r="B35" s="179"/>
      <c r="C35" s="180" t="s">
        <v>294</v>
      </c>
      <c r="D35" s="202" t="s">
        <v>124</v>
      </c>
      <c r="E35" s="202" t="s">
        <v>174</v>
      </c>
      <c r="F35" s="181" t="s">
        <v>285</v>
      </c>
      <c r="G35" s="421" t="s">
        <v>102</v>
      </c>
      <c r="H35" s="421" t="s">
        <v>99</v>
      </c>
      <c r="I35" s="421" t="s">
        <v>99</v>
      </c>
      <c r="J35" s="421"/>
      <c r="K35" s="421"/>
      <c r="L35" s="421"/>
      <c r="M35" s="421"/>
      <c r="N35" s="421"/>
      <c r="O35" s="421"/>
      <c r="P35" s="421" t="s">
        <v>99</v>
      </c>
      <c r="Q35" s="409">
        <v>17.95</v>
      </c>
      <c r="R35" s="182">
        <v>17.95</v>
      </c>
      <c r="S35" s="183" t="s">
        <v>177</v>
      </c>
      <c r="T35" s="115"/>
      <c r="U35" s="115"/>
      <c r="V35" s="115"/>
      <c r="W35" s="115"/>
      <c r="X35" s="115"/>
      <c r="Y35" s="115"/>
      <c r="Z35" s="115"/>
      <c r="AA35" s="116"/>
      <c r="AB35" s="116"/>
      <c r="AC35" s="115"/>
      <c r="AD35" s="116"/>
      <c r="AE35" s="116"/>
      <c r="AF35" s="115"/>
      <c r="AG35" s="112"/>
      <c r="AH35" s="112"/>
      <c r="AI35" s="112"/>
      <c r="AJ35" s="112"/>
      <c r="AK35" s="112"/>
      <c r="AL35" s="112"/>
    </row>
    <row r="36" spans="1:38" s="47" customFormat="1" ht="17.25" x14ac:dyDescent="0.3">
      <c r="A36" s="112"/>
      <c r="B36" s="179"/>
      <c r="C36" s="180" t="s">
        <v>295</v>
      </c>
      <c r="D36" s="202" t="s">
        <v>124</v>
      </c>
      <c r="E36" s="202" t="s">
        <v>174</v>
      </c>
      <c r="F36" s="181" t="s">
        <v>285</v>
      </c>
      <c r="G36" s="421" t="s">
        <v>102</v>
      </c>
      <c r="H36" s="421" t="s">
        <v>99</v>
      </c>
      <c r="I36" s="421" t="s">
        <v>99</v>
      </c>
      <c r="J36" s="421"/>
      <c r="K36" s="421"/>
      <c r="L36" s="421"/>
      <c r="M36" s="421"/>
      <c r="N36" s="421"/>
      <c r="O36" s="421"/>
      <c r="P36" s="421" t="s">
        <v>99</v>
      </c>
      <c r="Q36" s="409">
        <v>17.95</v>
      </c>
      <c r="R36" s="182">
        <v>17.95</v>
      </c>
      <c r="S36" s="183" t="s">
        <v>177</v>
      </c>
      <c r="T36" s="115"/>
      <c r="U36" s="115"/>
      <c r="V36" s="115"/>
      <c r="W36" s="115"/>
      <c r="X36" s="115"/>
      <c r="Y36" s="115"/>
      <c r="Z36" s="115"/>
      <c r="AA36" s="116"/>
      <c r="AB36" s="116"/>
      <c r="AC36" s="115"/>
      <c r="AD36" s="116"/>
      <c r="AE36" s="116"/>
      <c r="AF36" s="115"/>
      <c r="AG36" s="112"/>
      <c r="AH36" s="112"/>
      <c r="AI36" s="112"/>
      <c r="AJ36" s="112"/>
      <c r="AK36" s="112"/>
      <c r="AL36" s="112"/>
    </row>
    <row r="37" spans="1:38" s="47" customFormat="1" ht="17.25" x14ac:dyDescent="0.3">
      <c r="A37" s="112"/>
      <c r="B37" s="179"/>
      <c r="C37" s="180" t="s">
        <v>296</v>
      </c>
      <c r="D37" s="202" t="s">
        <v>124</v>
      </c>
      <c r="E37" s="202" t="s">
        <v>174</v>
      </c>
      <c r="F37" s="181" t="s">
        <v>285</v>
      </c>
      <c r="G37" s="421" t="s">
        <v>102</v>
      </c>
      <c r="H37" s="421" t="s">
        <v>99</v>
      </c>
      <c r="I37" s="421" t="s">
        <v>99</v>
      </c>
      <c r="J37" s="421"/>
      <c r="K37" s="421"/>
      <c r="L37" s="421"/>
      <c r="M37" s="421"/>
      <c r="N37" s="421"/>
      <c r="O37" s="421"/>
      <c r="P37" s="421" t="s">
        <v>99</v>
      </c>
      <c r="Q37" s="409">
        <v>19.95</v>
      </c>
      <c r="R37" s="182">
        <v>19.95</v>
      </c>
      <c r="S37" s="183" t="s">
        <v>177</v>
      </c>
      <c r="T37" s="115"/>
      <c r="U37" s="115"/>
      <c r="V37" s="115"/>
      <c r="W37" s="115"/>
      <c r="X37" s="115"/>
      <c r="Y37" s="115"/>
      <c r="Z37" s="115"/>
      <c r="AA37" s="116"/>
      <c r="AB37" s="116"/>
      <c r="AC37" s="115"/>
      <c r="AD37" s="116"/>
      <c r="AE37" s="116"/>
      <c r="AF37" s="115"/>
      <c r="AG37" s="112"/>
      <c r="AH37" s="112"/>
      <c r="AI37" s="112"/>
      <c r="AJ37" s="112"/>
      <c r="AK37" s="112"/>
      <c r="AL37" s="112"/>
    </row>
    <row r="38" spans="1:38" s="47" customFormat="1" ht="17.25" x14ac:dyDescent="0.3">
      <c r="A38" s="112"/>
      <c r="B38" s="179"/>
      <c r="C38" s="180" t="s">
        <v>297</v>
      </c>
      <c r="D38" s="202" t="s">
        <v>124</v>
      </c>
      <c r="E38" s="202" t="s">
        <v>174</v>
      </c>
      <c r="F38" s="181" t="s">
        <v>285</v>
      </c>
      <c r="G38" s="421" t="s">
        <v>102</v>
      </c>
      <c r="H38" s="421" t="s">
        <v>99</v>
      </c>
      <c r="I38" s="421" t="s">
        <v>99</v>
      </c>
      <c r="J38" s="421"/>
      <c r="K38" s="421"/>
      <c r="L38" s="421"/>
      <c r="M38" s="421"/>
      <c r="N38" s="421"/>
      <c r="O38" s="421"/>
      <c r="P38" s="421" t="s">
        <v>99</v>
      </c>
      <c r="Q38" s="409">
        <v>14.95</v>
      </c>
      <c r="R38" s="182">
        <v>14.95</v>
      </c>
      <c r="S38" s="183" t="s">
        <v>177</v>
      </c>
      <c r="T38" s="115"/>
      <c r="U38" s="115"/>
      <c r="V38" s="115"/>
      <c r="W38" s="115"/>
      <c r="X38" s="115"/>
      <c r="Y38" s="115"/>
      <c r="Z38" s="115"/>
      <c r="AA38" s="116"/>
      <c r="AB38" s="116"/>
      <c r="AC38" s="115"/>
      <c r="AD38" s="116"/>
      <c r="AE38" s="116"/>
      <c r="AF38" s="115"/>
      <c r="AG38" s="112"/>
      <c r="AH38" s="112"/>
      <c r="AI38" s="112"/>
      <c r="AJ38" s="112"/>
      <c r="AK38" s="112"/>
      <c r="AL38" s="112"/>
    </row>
    <row r="39" spans="1:38" s="47" customFormat="1" ht="17.25" x14ac:dyDescent="0.3">
      <c r="A39" s="112"/>
      <c r="B39" s="179"/>
      <c r="C39" s="180" t="s">
        <v>298</v>
      </c>
      <c r="D39" s="202" t="s">
        <v>124</v>
      </c>
      <c r="E39" s="202" t="s">
        <v>174</v>
      </c>
      <c r="F39" s="181" t="s">
        <v>285</v>
      </c>
      <c r="G39" s="421" t="s">
        <v>102</v>
      </c>
      <c r="H39" s="421" t="s">
        <v>99</v>
      </c>
      <c r="I39" s="421" t="s">
        <v>99</v>
      </c>
      <c r="J39" s="421"/>
      <c r="K39" s="421"/>
      <c r="L39" s="421"/>
      <c r="M39" s="421"/>
      <c r="N39" s="421"/>
      <c r="O39" s="421"/>
      <c r="P39" s="421" t="s">
        <v>99</v>
      </c>
      <c r="Q39" s="409">
        <v>14.95</v>
      </c>
      <c r="R39" s="182">
        <v>14.95</v>
      </c>
      <c r="S39" s="183" t="s">
        <v>177</v>
      </c>
      <c r="T39" s="115"/>
      <c r="U39" s="115"/>
      <c r="V39" s="115"/>
      <c r="W39" s="115"/>
      <c r="X39" s="115"/>
      <c r="Y39" s="115"/>
      <c r="Z39" s="115"/>
      <c r="AA39" s="116"/>
      <c r="AB39" s="116"/>
      <c r="AC39" s="115"/>
      <c r="AD39" s="116"/>
      <c r="AE39" s="116"/>
      <c r="AF39" s="115"/>
      <c r="AG39" s="112"/>
      <c r="AH39" s="112"/>
      <c r="AI39" s="112"/>
      <c r="AJ39" s="112"/>
      <c r="AK39" s="112"/>
      <c r="AL39" s="112"/>
    </row>
    <row r="40" spans="1:38" s="47" customFormat="1" ht="17.25" x14ac:dyDescent="0.3">
      <c r="A40" s="112"/>
      <c r="B40" s="179"/>
      <c r="C40" s="180" t="s">
        <v>299</v>
      </c>
      <c r="D40" s="202" t="s">
        <v>124</v>
      </c>
      <c r="E40" s="202" t="s">
        <v>174</v>
      </c>
      <c r="F40" s="181" t="s">
        <v>285</v>
      </c>
      <c r="G40" s="421" t="s">
        <v>102</v>
      </c>
      <c r="H40" s="421" t="s">
        <v>99</v>
      </c>
      <c r="I40" s="421" t="s">
        <v>99</v>
      </c>
      <c r="J40" s="421"/>
      <c r="K40" s="421"/>
      <c r="L40" s="421"/>
      <c r="M40" s="421"/>
      <c r="N40" s="421"/>
      <c r="O40" s="421"/>
      <c r="P40" s="421" t="s">
        <v>99</v>
      </c>
      <c r="Q40" s="409">
        <v>14.95</v>
      </c>
      <c r="R40" s="182">
        <v>14.95</v>
      </c>
      <c r="S40" s="183" t="s">
        <v>177</v>
      </c>
      <c r="T40" s="115"/>
      <c r="U40" s="115"/>
      <c r="V40" s="115"/>
      <c r="W40" s="115"/>
      <c r="X40" s="115"/>
      <c r="Y40" s="115"/>
      <c r="Z40" s="115"/>
      <c r="AA40" s="116"/>
      <c r="AB40" s="116"/>
      <c r="AC40" s="115"/>
      <c r="AD40" s="116"/>
      <c r="AE40" s="116"/>
      <c r="AF40" s="115"/>
      <c r="AG40" s="112"/>
      <c r="AH40" s="112"/>
      <c r="AI40" s="112"/>
      <c r="AJ40" s="112"/>
      <c r="AK40" s="112"/>
      <c r="AL40" s="112"/>
    </row>
    <row r="41" spans="1:38" s="47" customFormat="1" ht="17.25" x14ac:dyDescent="0.3">
      <c r="A41" s="112"/>
      <c r="B41" s="179"/>
      <c r="C41" s="180" t="s">
        <v>300</v>
      </c>
      <c r="D41" s="202" t="s">
        <v>124</v>
      </c>
      <c r="E41" s="202" t="s">
        <v>174</v>
      </c>
      <c r="F41" s="181" t="s">
        <v>285</v>
      </c>
      <c r="G41" s="421" t="s">
        <v>102</v>
      </c>
      <c r="H41" s="421" t="s">
        <v>99</v>
      </c>
      <c r="I41" s="421" t="s">
        <v>99</v>
      </c>
      <c r="J41" s="421"/>
      <c r="K41" s="421"/>
      <c r="L41" s="421"/>
      <c r="M41" s="421"/>
      <c r="N41" s="421"/>
      <c r="O41" s="421"/>
      <c r="P41" s="421" t="s">
        <v>99</v>
      </c>
      <c r="Q41" s="409">
        <v>14.95</v>
      </c>
      <c r="R41" s="182">
        <v>14.95</v>
      </c>
      <c r="S41" s="183" t="s">
        <v>177</v>
      </c>
      <c r="T41" s="115"/>
      <c r="U41" s="115"/>
      <c r="V41" s="115"/>
      <c r="W41" s="115"/>
      <c r="X41" s="115"/>
      <c r="Y41" s="115"/>
      <c r="Z41" s="115"/>
      <c r="AA41" s="116"/>
      <c r="AB41" s="116"/>
      <c r="AC41" s="115"/>
      <c r="AD41" s="116"/>
      <c r="AE41" s="116"/>
      <c r="AF41" s="115"/>
      <c r="AG41" s="112"/>
      <c r="AH41" s="112"/>
      <c r="AI41" s="112"/>
      <c r="AJ41" s="112"/>
      <c r="AK41" s="112"/>
      <c r="AL41" s="112"/>
    </row>
    <row r="42" spans="1:38" s="47" customFormat="1" ht="17.25" x14ac:dyDescent="0.3">
      <c r="A42" s="112"/>
      <c r="B42" s="179"/>
      <c r="C42" s="180" t="s">
        <v>301</v>
      </c>
      <c r="D42" s="197" t="s">
        <v>124</v>
      </c>
      <c r="E42" s="197" t="s">
        <v>174</v>
      </c>
      <c r="F42" s="181" t="s">
        <v>285</v>
      </c>
      <c r="G42" s="421" t="s">
        <v>102</v>
      </c>
      <c r="H42" s="421" t="s">
        <v>99</v>
      </c>
      <c r="I42" s="421" t="s">
        <v>99</v>
      </c>
      <c r="J42" s="421"/>
      <c r="K42" s="421"/>
      <c r="L42" s="421"/>
      <c r="M42" s="421"/>
      <c r="N42" s="421"/>
      <c r="O42" s="421"/>
      <c r="P42" s="421" t="s">
        <v>99</v>
      </c>
      <c r="Q42" s="409">
        <v>17.95</v>
      </c>
      <c r="R42" s="182">
        <v>17.95</v>
      </c>
      <c r="S42" s="183" t="s">
        <v>177</v>
      </c>
      <c r="T42" s="115"/>
      <c r="U42" s="115"/>
      <c r="V42" s="115"/>
      <c r="W42" s="115"/>
      <c r="X42" s="115"/>
      <c r="Y42" s="115"/>
      <c r="Z42" s="115"/>
      <c r="AA42" s="116"/>
      <c r="AB42" s="116"/>
      <c r="AC42" s="115"/>
      <c r="AD42" s="116"/>
      <c r="AE42" s="116"/>
      <c r="AF42" s="115"/>
      <c r="AG42" s="112"/>
      <c r="AH42" s="112"/>
      <c r="AI42" s="112"/>
      <c r="AJ42" s="112"/>
      <c r="AK42" s="112"/>
      <c r="AL42" s="112"/>
    </row>
    <row r="43" spans="1:38" s="47" customFormat="1" ht="17.25" x14ac:dyDescent="0.3">
      <c r="A43" s="112"/>
      <c r="B43" s="179"/>
      <c r="C43" s="180" t="s">
        <v>302</v>
      </c>
      <c r="D43" s="197" t="s">
        <v>124</v>
      </c>
      <c r="E43" s="197" t="s">
        <v>174</v>
      </c>
      <c r="F43" s="181" t="s">
        <v>285</v>
      </c>
      <c r="G43" s="421" t="s">
        <v>102</v>
      </c>
      <c r="H43" s="421" t="s">
        <v>99</v>
      </c>
      <c r="I43" s="421" t="s">
        <v>99</v>
      </c>
      <c r="J43" s="421"/>
      <c r="K43" s="421"/>
      <c r="L43" s="421"/>
      <c r="M43" s="421"/>
      <c r="N43" s="421"/>
      <c r="O43" s="421"/>
      <c r="P43" s="421" t="s">
        <v>99</v>
      </c>
      <c r="Q43" s="409">
        <v>17.95</v>
      </c>
      <c r="R43" s="182">
        <v>17.95</v>
      </c>
      <c r="S43" s="183" t="s">
        <v>177</v>
      </c>
      <c r="T43" s="115"/>
      <c r="U43" s="115"/>
      <c r="V43" s="115"/>
      <c r="W43" s="115"/>
      <c r="X43" s="115"/>
      <c r="Y43" s="115"/>
      <c r="Z43" s="115"/>
      <c r="AA43" s="116"/>
      <c r="AB43" s="116"/>
      <c r="AC43" s="115"/>
      <c r="AD43" s="116"/>
      <c r="AE43" s="116"/>
      <c r="AF43" s="115"/>
      <c r="AG43" s="112"/>
      <c r="AH43" s="112"/>
      <c r="AI43" s="112"/>
      <c r="AJ43" s="112"/>
      <c r="AK43" s="112"/>
      <c r="AL43" s="112"/>
    </row>
    <row r="44" spans="1:38" s="47" customFormat="1" ht="17.25" x14ac:dyDescent="0.3">
      <c r="A44" s="112"/>
      <c r="B44" s="179"/>
      <c r="C44" s="180" t="s">
        <v>303</v>
      </c>
      <c r="D44" s="197" t="s">
        <v>124</v>
      </c>
      <c r="E44" s="197" t="s">
        <v>174</v>
      </c>
      <c r="F44" s="181" t="s">
        <v>285</v>
      </c>
      <c r="G44" s="421" t="s">
        <v>102</v>
      </c>
      <c r="H44" s="421" t="s">
        <v>99</v>
      </c>
      <c r="I44" s="421" t="s">
        <v>99</v>
      </c>
      <c r="J44" s="421"/>
      <c r="K44" s="421"/>
      <c r="L44" s="421"/>
      <c r="M44" s="421"/>
      <c r="N44" s="421"/>
      <c r="O44" s="421"/>
      <c r="P44" s="421" t="s">
        <v>99</v>
      </c>
      <c r="Q44" s="409">
        <v>17.95</v>
      </c>
      <c r="R44" s="182">
        <v>17.95</v>
      </c>
      <c r="S44" s="183" t="s">
        <v>177</v>
      </c>
      <c r="T44" s="115"/>
      <c r="U44" s="115"/>
      <c r="V44" s="115"/>
      <c r="W44" s="115"/>
      <c r="X44" s="115"/>
      <c r="Y44" s="115"/>
      <c r="Z44" s="115"/>
      <c r="AA44" s="116"/>
      <c r="AB44" s="116"/>
      <c r="AC44" s="115"/>
      <c r="AD44" s="116"/>
      <c r="AE44" s="116"/>
      <c r="AF44" s="115"/>
      <c r="AG44" s="112"/>
      <c r="AH44" s="112"/>
      <c r="AI44" s="112"/>
      <c r="AJ44" s="112"/>
      <c r="AK44" s="112"/>
      <c r="AL44" s="112"/>
    </row>
    <row r="45" spans="1:38" s="47" customFormat="1" ht="17.25" x14ac:dyDescent="0.3">
      <c r="A45" s="112"/>
      <c r="B45" s="179"/>
      <c r="C45" s="180" t="s">
        <v>304</v>
      </c>
      <c r="D45" s="197" t="s">
        <v>124</v>
      </c>
      <c r="E45" s="197" t="s">
        <v>174</v>
      </c>
      <c r="F45" s="181" t="s">
        <v>285</v>
      </c>
      <c r="G45" s="421" t="s">
        <v>102</v>
      </c>
      <c r="H45" s="421" t="s">
        <v>99</v>
      </c>
      <c r="I45" s="421" t="s">
        <v>99</v>
      </c>
      <c r="J45" s="421"/>
      <c r="K45" s="421"/>
      <c r="L45" s="421"/>
      <c r="M45" s="421"/>
      <c r="N45" s="421"/>
      <c r="O45" s="421"/>
      <c r="P45" s="421" t="s">
        <v>99</v>
      </c>
      <c r="Q45" s="409">
        <v>17.95</v>
      </c>
      <c r="R45" s="182">
        <v>17.95</v>
      </c>
      <c r="S45" s="183" t="s">
        <v>177</v>
      </c>
      <c r="T45" s="115"/>
      <c r="U45" s="115"/>
      <c r="V45" s="115"/>
      <c r="W45" s="115"/>
      <c r="X45" s="115"/>
      <c r="Y45" s="115"/>
      <c r="Z45" s="115"/>
      <c r="AA45" s="116"/>
      <c r="AB45" s="116"/>
      <c r="AC45" s="115"/>
      <c r="AD45" s="116"/>
      <c r="AE45" s="116"/>
      <c r="AF45" s="115"/>
      <c r="AG45" s="112"/>
      <c r="AH45" s="112"/>
      <c r="AI45" s="112"/>
      <c r="AJ45" s="112"/>
      <c r="AK45" s="112"/>
      <c r="AL45" s="112"/>
    </row>
    <row r="46" spans="1:38" s="47" customFormat="1" ht="17.25" x14ac:dyDescent="0.3">
      <c r="A46" s="112"/>
      <c r="B46" s="179"/>
      <c r="C46" s="180" t="s">
        <v>305</v>
      </c>
      <c r="D46" s="197" t="s">
        <v>124</v>
      </c>
      <c r="E46" s="197" t="s">
        <v>174</v>
      </c>
      <c r="F46" s="181" t="s">
        <v>285</v>
      </c>
      <c r="G46" s="421" t="s">
        <v>102</v>
      </c>
      <c r="H46" s="421" t="s">
        <v>99</v>
      </c>
      <c r="I46" s="421" t="s">
        <v>99</v>
      </c>
      <c r="J46" s="421"/>
      <c r="K46" s="421"/>
      <c r="L46" s="421"/>
      <c r="M46" s="421"/>
      <c r="N46" s="421"/>
      <c r="O46" s="421"/>
      <c r="P46" s="421" t="s">
        <v>99</v>
      </c>
      <c r="Q46" s="409">
        <v>17.95</v>
      </c>
      <c r="R46" s="182">
        <v>17.95</v>
      </c>
      <c r="S46" s="183" t="s">
        <v>177</v>
      </c>
      <c r="T46" s="115"/>
      <c r="U46" s="115"/>
      <c r="V46" s="115"/>
      <c r="W46" s="115"/>
      <c r="X46" s="115"/>
      <c r="Y46" s="115"/>
      <c r="Z46" s="115"/>
      <c r="AA46" s="116"/>
      <c r="AB46" s="116"/>
      <c r="AC46" s="115"/>
      <c r="AD46" s="116"/>
      <c r="AE46" s="116"/>
      <c r="AF46" s="115"/>
      <c r="AG46" s="112"/>
      <c r="AH46" s="112"/>
      <c r="AI46" s="112"/>
      <c r="AJ46" s="112"/>
      <c r="AK46" s="112"/>
      <c r="AL46" s="112"/>
    </row>
    <row r="47" spans="1:38" s="47" customFormat="1" ht="17.25" x14ac:dyDescent="0.3">
      <c r="A47" s="112"/>
      <c r="B47" s="179"/>
      <c r="C47" s="180" t="s">
        <v>306</v>
      </c>
      <c r="D47" s="197" t="s">
        <v>124</v>
      </c>
      <c r="E47" s="197" t="s">
        <v>174</v>
      </c>
      <c r="F47" s="181" t="s">
        <v>285</v>
      </c>
      <c r="G47" s="421" t="s">
        <v>102</v>
      </c>
      <c r="H47" s="421" t="s">
        <v>99</v>
      </c>
      <c r="I47" s="421" t="s">
        <v>99</v>
      </c>
      <c r="J47" s="421"/>
      <c r="K47" s="421"/>
      <c r="L47" s="421"/>
      <c r="M47" s="421"/>
      <c r="N47" s="421"/>
      <c r="O47" s="421"/>
      <c r="P47" s="421" t="s">
        <v>99</v>
      </c>
      <c r="Q47" s="409">
        <v>17.95</v>
      </c>
      <c r="R47" s="182">
        <v>17.95</v>
      </c>
      <c r="S47" s="183" t="s">
        <v>177</v>
      </c>
      <c r="T47" s="115"/>
      <c r="U47" s="115"/>
      <c r="V47" s="115"/>
      <c r="W47" s="115"/>
      <c r="X47" s="115"/>
      <c r="Y47" s="115"/>
      <c r="Z47" s="115"/>
      <c r="AA47" s="116"/>
      <c r="AB47" s="116"/>
      <c r="AC47" s="115"/>
      <c r="AD47" s="116"/>
      <c r="AE47" s="116"/>
      <c r="AF47" s="115"/>
      <c r="AG47" s="112"/>
      <c r="AH47" s="112"/>
      <c r="AI47" s="112"/>
      <c r="AJ47" s="112"/>
      <c r="AK47" s="112"/>
      <c r="AL47" s="112"/>
    </row>
    <row r="48" spans="1:38" s="47" customFormat="1" ht="17.25" x14ac:dyDescent="0.3">
      <c r="A48" s="112"/>
      <c r="B48" s="179"/>
      <c r="C48" s="180" t="s">
        <v>307</v>
      </c>
      <c r="D48" s="197" t="s">
        <v>124</v>
      </c>
      <c r="E48" s="197" t="s">
        <v>174</v>
      </c>
      <c r="F48" s="181" t="s">
        <v>285</v>
      </c>
      <c r="G48" s="421" t="s">
        <v>102</v>
      </c>
      <c r="H48" s="421" t="s">
        <v>99</v>
      </c>
      <c r="I48" s="421" t="s">
        <v>99</v>
      </c>
      <c r="J48" s="421"/>
      <c r="K48" s="421"/>
      <c r="L48" s="421"/>
      <c r="M48" s="421"/>
      <c r="N48" s="421"/>
      <c r="O48" s="421"/>
      <c r="P48" s="421" t="s">
        <v>99</v>
      </c>
      <c r="Q48" s="409">
        <v>17.95</v>
      </c>
      <c r="R48" s="182">
        <v>17.95</v>
      </c>
      <c r="S48" s="183" t="s">
        <v>177</v>
      </c>
      <c r="T48" s="115"/>
      <c r="U48" s="115"/>
      <c r="V48" s="115"/>
      <c r="W48" s="115"/>
      <c r="X48" s="115"/>
      <c r="Y48" s="115"/>
      <c r="Z48" s="115"/>
      <c r="AA48" s="116"/>
      <c r="AB48" s="116"/>
      <c r="AC48" s="115"/>
      <c r="AD48" s="116"/>
      <c r="AE48" s="116"/>
      <c r="AF48" s="115"/>
      <c r="AG48" s="112"/>
      <c r="AH48" s="112"/>
      <c r="AI48" s="112"/>
      <c r="AJ48" s="112"/>
      <c r="AK48" s="112"/>
      <c r="AL48" s="112"/>
    </row>
    <row r="49" spans="1:38" s="47" customFormat="1" ht="17.25" x14ac:dyDescent="0.3">
      <c r="A49" s="112"/>
      <c r="B49" s="179"/>
      <c r="C49" s="180" t="s">
        <v>308</v>
      </c>
      <c r="D49" s="202" t="s">
        <v>124</v>
      </c>
      <c r="E49" s="197" t="s">
        <v>174</v>
      </c>
      <c r="F49" s="181" t="s">
        <v>285</v>
      </c>
      <c r="G49" s="421" t="s">
        <v>102</v>
      </c>
      <c r="H49" s="421" t="s">
        <v>99</v>
      </c>
      <c r="I49" s="421" t="s">
        <v>99</v>
      </c>
      <c r="J49" s="421"/>
      <c r="K49" s="421"/>
      <c r="L49" s="421"/>
      <c r="M49" s="421"/>
      <c r="N49" s="421"/>
      <c r="O49" s="421"/>
      <c r="P49" s="421" t="s">
        <v>99</v>
      </c>
      <c r="Q49" s="409">
        <v>17.95</v>
      </c>
      <c r="R49" s="182">
        <v>17.95</v>
      </c>
      <c r="S49" s="183" t="s">
        <v>177</v>
      </c>
      <c r="T49" s="115"/>
      <c r="U49" s="115"/>
      <c r="V49" s="115"/>
      <c r="W49" s="115"/>
      <c r="X49" s="115"/>
      <c r="Y49" s="115"/>
      <c r="Z49" s="115"/>
      <c r="AA49" s="116"/>
      <c r="AB49" s="116"/>
      <c r="AC49" s="115"/>
      <c r="AD49" s="116"/>
      <c r="AE49" s="116"/>
      <c r="AF49" s="115"/>
      <c r="AG49" s="112"/>
      <c r="AH49" s="112"/>
      <c r="AI49" s="112"/>
      <c r="AJ49" s="112"/>
      <c r="AK49" s="112"/>
      <c r="AL49" s="112"/>
    </row>
    <row r="50" spans="1:38" s="47" customFormat="1" ht="17.25" x14ac:dyDescent="0.3">
      <c r="A50" s="112"/>
      <c r="B50" s="179"/>
      <c r="C50" s="180" t="s">
        <v>309</v>
      </c>
      <c r="D50" s="202" t="s">
        <v>124</v>
      </c>
      <c r="E50" s="197" t="s">
        <v>174</v>
      </c>
      <c r="F50" s="181" t="s">
        <v>285</v>
      </c>
      <c r="G50" s="421" t="s">
        <v>102</v>
      </c>
      <c r="H50" s="421" t="s">
        <v>99</v>
      </c>
      <c r="I50" s="421" t="s">
        <v>99</v>
      </c>
      <c r="J50" s="421"/>
      <c r="K50" s="421"/>
      <c r="L50" s="421"/>
      <c r="M50" s="421"/>
      <c r="N50" s="421"/>
      <c r="O50" s="421"/>
      <c r="P50" s="421" t="s">
        <v>99</v>
      </c>
      <c r="Q50" s="409">
        <v>17.95</v>
      </c>
      <c r="R50" s="182">
        <v>17.95</v>
      </c>
      <c r="S50" s="183" t="s">
        <v>177</v>
      </c>
      <c r="T50" s="115"/>
      <c r="U50" s="115"/>
      <c r="V50" s="115"/>
      <c r="W50" s="115"/>
      <c r="X50" s="115"/>
      <c r="Y50" s="115"/>
      <c r="Z50" s="115"/>
      <c r="AA50" s="116"/>
      <c r="AB50" s="116"/>
      <c r="AC50" s="115"/>
      <c r="AD50" s="116"/>
      <c r="AE50" s="116"/>
      <c r="AF50" s="115"/>
      <c r="AG50" s="112"/>
      <c r="AH50" s="112"/>
      <c r="AI50" s="112"/>
      <c r="AJ50" s="112"/>
      <c r="AK50" s="112"/>
      <c r="AL50" s="112"/>
    </row>
    <row r="51" spans="1:38" s="47" customFormat="1" ht="17.25" x14ac:dyDescent="0.3">
      <c r="A51" s="112"/>
      <c r="B51" s="179"/>
      <c r="C51" s="180" t="s">
        <v>310</v>
      </c>
      <c r="D51" s="202" t="s">
        <v>124</v>
      </c>
      <c r="E51" s="197" t="s">
        <v>174</v>
      </c>
      <c r="F51" s="181" t="s">
        <v>285</v>
      </c>
      <c r="G51" s="421" t="s">
        <v>102</v>
      </c>
      <c r="H51" s="421" t="s">
        <v>99</v>
      </c>
      <c r="I51" s="421" t="s">
        <v>99</v>
      </c>
      <c r="J51" s="421"/>
      <c r="K51" s="421"/>
      <c r="L51" s="421"/>
      <c r="M51" s="421"/>
      <c r="N51" s="421"/>
      <c r="O51" s="421"/>
      <c r="P51" s="421" t="s">
        <v>99</v>
      </c>
      <c r="Q51" s="409">
        <v>17.95</v>
      </c>
      <c r="R51" s="182">
        <v>17.95</v>
      </c>
      <c r="S51" s="183" t="s">
        <v>177</v>
      </c>
      <c r="T51" s="115"/>
      <c r="U51" s="115"/>
      <c r="V51" s="115"/>
      <c r="W51" s="115"/>
      <c r="X51" s="115"/>
      <c r="Y51" s="115"/>
      <c r="Z51" s="115"/>
      <c r="AA51" s="116"/>
      <c r="AB51" s="116"/>
      <c r="AC51" s="115"/>
      <c r="AD51" s="116"/>
      <c r="AE51" s="116"/>
      <c r="AF51" s="115"/>
      <c r="AG51" s="112"/>
      <c r="AH51" s="112"/>
      <c r="AI51" s="112"/>
      <c r="AJ51" s="112"/>
      <c r="AK51" s="112"/>
      <c r="AL51" s="112"/>
    </row>
    <row r="52" spans="1:38" s="47" customFormat="1" ht="17.25" x14ac:dyDescent="0.3">
      <c r="A52" s="112"/>
      <c r="B52" s="179"/>
      <c r="C52" s="180" t="s">
        <v>311</v>
      </c>
      <c r="D52" s="197" t="s">
        <v>124</v>
      </c>
      <c r="E52" s="197" t="s">
        <v>174</v>
      </c>
      <c r="F52" s="181" t="s">
        <v>285</v>
      </c>
      <c r="G52" s="421" t="s">
        <v>102</v>
      </c>
      <c r="H52" s="421" t="s">
        <v>99</v>
      </c>
      <c r="I52" s="421" t="s">
        <v>99</v>
      </c>
      <c r="J52" s="421"/>
      <c r="K52" s="421"/>
      <c r="L52" s="421"/>
      <c r="M52" s="421"/>
      <c r="N52" s="421"/>
      <c r="O52" s="421"/>
      <c r="P52" s="421" t="s">
        <v>99</v>
      </c>
      <c r="Q52" s="409">
        <v>19.95</v>
      </c>
      <c r="R52" s="182">
        <v>19.95</v>
      </c>
      <c r="S52" s="183" t="s">
        <v>177</v>
      </c>
      <c r="T52" s="115"/>
      <c r="U52" s="115"/>
      <c r="V52" s="115"/>
      <c r="W52" s="115"/>
      <c r="X52" s="115"/>
      <c r="Y52" s="115"/>
      <c r="Z52" s="115"/>
      <c r="AA52" s="116"/>
      <c r="AB52" s="116"/>
      <c r="AC52" s="115"/>
      <c r="AD52" s="116"/>
      <c r="AE52" s="116"/>
      <c r="AF52" s="115"/>
      <c r="AG52" s="112"/>
      <c r="AH52" s="112"/>
      <c r="AI52" s="112"/>
      <c r="AJ52" s="112"/>
      <c r="AK52" s="112"/>
      <c r="AL52" s="112"/>
    </row>
    <row r="53" spans="1:38" s="47" customFormat="1" ht="17.25" x14ac:dyDescent="0.3">
      <c r="A53" s="112"/>
      <c r="B53" s="179"/>
      <c r="C53" s="180" t="s">
        <v>312</v>
      </c>
      <c r="D53" s="197" t="s">
        <v>124</v>
      </c>
      <c r="E53" s="197" t="s">
        <v>174</v>
      </c>
      <c r="F53" s="181" t="s">
        <v>285</v>
      </c>
      <c r="G53" s="421" t="s">
        <v>102</v>
      </c>
      <c r="H53" s="421" t="s">
        <v>99</v>
      </c>
      <c r="I53" s="421" t="s">
        <v>99</v>
      </c>
      <c r="J53" s="421"/>
      <c r="K53" s="421"/>
      <c r="L53" s="421"/>
      <c r="M53" s="421"/>
      <c r="N53" s="421"/>
      <c r="O53" s="421"/>
      <c r="P53" s="421" t="s">
        <v>99</v>
      </c>
      <c r="Q53" s="409">
        <v>19.95</v>
      </c>
      <c r="R53" s="182">
        <v>19.95</v>
      </c>
      <c r="S53" s="183" t="s">
        <v>177</v>
      </c>
      <c r="T53" s="115"/>
      <c r="U53" s="115"/>
      <c r="V53" s="115"/>
      <c r="W53" s="115"/>
      <c r="X53" s="115"/>
      <c r="Y53" s="115"/>
      <c r="Z53" s="115"/>
      <c r="AA53" s="116"/>
      <c r="AB53" s="116"/>
      <c r="AC53" s="115"/>
      <c r="AD53" s="116"/>
      <c r="AE53" s="116"/>
      <c r="AF53" s="115"/>
      <c r="AG53" s="112"/>
      <c r="AH53" s="112"/>
      <c r="AI53" s="112"/>
      <c r="AJ53" s="112"/>
      <c r="AK53" s="112"/>
      <c r="AL53" s="112"/>
    </row>
    <row r="54" spans="1:38" s="47" customFormat="1" ht="17.25" x14ac:dyDescent="0.3">
      <c r="A54" s="112"/>
      <c r="B54" s="179"/>
      <c r="C54" s="180" t="s">
        <v>313</v>
      </c>
      <c r="D54" s="197" t="s">
        <v>124</v>
      </c>
      <c r="E54" s="197" t="s">
        <v>174</v>
      </c>
      <c r="F54" s="181" t="s">
        <v>285</v>
      </c>
      <c r="G54" s="421" t="s">
        <v>102</v>
      </c>
      <c r="H54" s="421" t="s">
        <v>99</v>
      </c>
      <c r="I54" s="421" t="s">
        <v>99</v>
      </c>
      <c r="J54" s="421"/>
      <c r="K54" s="421"/>
      <c r="L54" s="421"/>
      <c r="M54" s="421"/>
      <c r="N54" s="421"/>
      <c r="O54" s="421"/>
      <c r="P54" s="421" t="s">
        <v>99</v>
      </c>
      <c r="Q54" s="409">
        <v>19.95</v>
      </c>
      <c r="R54" s="182">
        <v>19.95</v>
      </c>
      <c r="S54" s="183" t="s">
        <v>177</v>
      </c>
      <c r="T54" s="115"/>
      <c r="U54" s="115"/>
      <c r="V54" s="115"/>
      <c r="W54" s="115"/>
      <c r="X54" s="115"/>
      <c r="Y54" s="115"/>
      <c r="Z54" s="115"/>
      <c r="AA54" s="116"/>
      <c r="AB54" s="116"/>
      <c r="AC54" s="115"/>
      <c r="AD54" s="116"/>
      <c r="AE54" s="116"/>
      <c r="AF54" s="115"/>
      <c r="AG54" s="112"/>
      <c r="AH54" s="112"/>
      <c r="AI54" s="112"/>
      <c r="AJ54" s="112"/>
      <c r="AK54" s="112"/>
      <c r="AL54" s="112"/>
    </row>
    <row r="55" spans="1:38" s="47" customFormat="1" ht="17.25" x14ac:dyDescent="0.3">
      <c r="A55" s="112"/>
      <c r="B55" s="179"/>
      <c r="C55" s="180" t="s">
        <v>314</v>
      </c>
      <c r="D55" s="197" t="s">
        <v>124</v>
      </c>
      <c r="E55" s="197" t="s">
        <v>174</v>
      </c>
      <c r="F55" s="181" t="s">
        <v>285</v>
      </c>
      <c r="G55" s="421" t="s">
        <v>102</v>
      </c>
      <c r="H55" s="421" t="s">
        <v>99</v>
      </c>
      <c r="I55" s="421" t="s">
        <v>99</v>
      </c>
      <c r="J55" s="421"/>
      <c r="K55" s="421"/>
      <c r="L55" s="421"/>
      <c r="M55" s="421"/>
      <c r="N55" s="421"/>
      <c r="O55" s="421"/>
      <c r="P55" s="421" t="s">
        <v>99</v>
      </c>
      <c r="Q55" s="409">
        <v>19.95</v>
      </c>
      <c r="R55" s="182">
        <v>19.95</v>
      </c>
      <c r="S55" s="183" t="s">
        <v>177</v>
      </c>
      <c r="T55" s="115"/>
      <c r="U55" s="115"/>
      <c r="V55" s="115"/>
      <c r="W55" s="115"/>
      <c r="X55" s="115"/>
      <c r="Y55" s="115"/>
      <c r="Z55" s="115"/>
      <c r="AA55" s="116"/>
      <c r="AB55" s="116"/>
      <c r="AC55" s="115"/>
      <c r="AD55" s="116"/>
      <c r="AE55" s="116"/>
      <c r="AF55" s="115"/>
      <c r="AG55" s="112"/>
      <c r="AH55" s="112"/>
      <c r="AI55" s="112"/>
      <c r="AJ55" s="112"/>
      <c r="AK55" s="112"/>
      <c r="AL55" s="112"/>
    </row>
    <row r="56" spans="1:38" s="47" customFormat="1" ht="18" thickBot="1" x14ac:dyDescent="0.35">
      <c r="A56" s="112"/>
      <c r="B56" s="229"/>
      <c r="C56" s="180" t="s">
        <v>315</v>
      </c>
      <c r="D56" s="197" t="s">
        <v>124</v>
      </c>
      <c r="E56" s="197" t="s">
        <v>174</v>
      </c>
      <c r="F56" s="181" t="s">
        <v>285</v>
      </c>
      <c r="G56" s="421" t="s">
        <v>102</v>
      </c>
      <c r="H56" s="421" t="s">
        <v>99</v>
      </c>
      <c r="I56" s="421" t="s">
        <v>99</v>
      </c>
      <c r="J56" s="421"/>
      <c r="K56" s="421"/>
      <c r="L56" s="421"/>
      <c r="M56" s="421"/>
      <c r="N56" s="421"/>
      <c r="O56" s="421"/>
      <c r="P56" s="421" t="s">
        <v>99</v>
      </c>
      <c r="Q56" s="409">
        <v>19.95</v>
      </c>
      <c r="R56" s="182">
        <v>19.95</v>
      </c>
      <c r="S56" s="228" t="s">
        <v>177</v>
      </c>
      <c r="T56" s="115"/>
      <c r="U56" s="115"/>
      <c r="V56" s="115"/>
      <c r="W56" s="115"/>
      <c r="X56" s="115"/>
      <c r="Y56" s="115"/>
      <c r="Z56" s="115"/>
      <c r="AA56" s="116"/>
      <c r="AB56" s="116"/>
      <c r="AC56" s="115"/>
      <c r="AD56" s="116"/>
      <c r="AE56" s="116"/>
      <c r="AF56" s="115"/>
      <c r="AG56" s="112"/>
      <c r="AH56" s="112"/>
      <c r="AI56" s="112"/>
      <c r="AJ56" s="112"/>
      <c r="AK56" s="112"/>
      <c r="AL56" s="112"/>
    </row>
    <row r="57" spans="1:38" s="1" customFormat="1" ht="15.75" thickBot="1" x14ac:dyDescent="0.35">
      <c r="A57" s="116"/>
      <c r="B57" s="166" t="s">
        <v>105</v>
      </c>
      <c r="C57" s="671" t="s">
        <v>128</v>
      </c>
      <c r="D57" s="672"/>
      <c r="E57" s="672"/>
      <c r="F57" s="673"/>
      <c r="G57" s="167">
        <f t="shared" ref="G57:P57" si="0">SUMIF(G$8:G$56,"µ",$R$8:$R$56)</f>
        <v>0</v>
      </c>
      <c r="H57" s="167">
        <f t="shared" si="0"/>
        <v>0</v>
      </c>
      <c r="I57" s="167">
        <f t="shared" si="0"/>
        <v>59.900000000000006</v>
      </c>
      <c r="J57" s="167">
        <f t="shared" si="0"/>
        <v>0</v>
      </c>
      <c r="K57" s="167">
        <f t="shared" si="0"/>
        <v>0</v>
      </c>
      <c r="L57" s="167">
        <f t="shared" si="0"/>
        <v>0</v>
      </c>
      <c r="M57" s="167">
        <f t="shared" si="0"/>
        <v>0</v>
      </c>
      <c r="N57" s="167">
        <f t="shared" si="0"/>
        <v>0</v>
      </c>
      <c r="O57" s="167">
        <f t="shared" si="0"/>
        <v>0</v>
      </c>
      <c r="P57" s="168">
        <f t="shared" si="0"/>
        <v>109.80000000000001</v>
      </c>
      <c r="Q57" s="410">
        <f>SUM(Q8:Q56)</f>
        <v>1091.1400000000012</v>
      </c>
      <c r="R57" s="169">
        <f>SUM(R8:R56)</f>
        <v>1100.9400000000014</v>
      </c>
      <c r="S57" s="116"/>
      <c r="T57" s="115"/>
      <c r="U57" s="115"/>
      <c r="V57" s="115"/>
      <c r="W57" s="115"/>
      <c r="X57" s="115"/>
      <c r="Y57" s="115"/>
      <c r="Z57" s="115"/>
      <c r="AA57" s="116"/>
      <c r="AB57" s="116"/>
      <c r="AC57" s="115"/>
      <c r="AD57" s="116"/>
      <c r="AE57" s="116"/>
      <c r="AF57" s="115"/>
      <c r="AG57" s="116"/>
      <c r="AH57" s="116"/>
      <c r="AI57" s="116"/>
      <c r="AJ57" s="116"/>
      <c r="AK57" s="116"/>
      <c r="AL57" s="116"/>
    </row>
    <row r="58" spans="1:38" s="2" customFormat="1" ht="15.75" thickBot="1" x14ac:dyDescent="0.35">
      <c r="A58" s="111"/>
      <c r="B58" s="122"/>
      <c r="C58" s="111"/>
      <c r="D58" s="128"/>
      <c r="E58" s="128"/>
      <c r="F58" s="111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4"/>
      <c r="R58" s="125"/>
      <c r="S58" s="130"/>
      <c r="T58" s="115"/>
      <c r="U58" s="115"/>
      <c r="V58" s="115"/>
      <c r="W58" s="115"/>
      <c r="X58" s="115"/>
      <c r="Y58" s="115"/>
      <c r="Z58" s="115"/>
      <c r="AA58" s="116"/>
      <c r="AB58" s="116"/>
      <c r="AC58" s="115"/>
      <c r="AD58" s="116"/>
      <c r="AE58" s="116"/>
      <c r="AF58" s="115"/>
      <c r="AG58" s="111"/>
      <c r="AH58" s="111"/>
      <c r="AI58" s="111"/>
      <c r="AJ58" s="111"/>
      <c r="AK58" s="111"/>
      <c r="AL58" s="111"/>
    </row>
    <row r="59" spans="1:38" s="47" customFormat="1" ht="60" x14ac:dyDescent="0.3">
      <c r="A59" s="112"/>
      <c r="B59" s="366" t="s">
        <v>104</v>
      </c>
      <c r="C59" s="163" t="s">
        <v>103</v>
      </c>
      <c r="D59" s="163"/>
      <c r="E59" s="367" t="s">
        <v>122</v>
      </c>
      <c r="F59" s="164" t="s">
        <v>2</v>
      </c>
      <c r="G59" s="152" t="s">
        <v>12</v>
      </c>
      <c r="H59" s="152" t="str">
        <f t="shared" ref="H59:P59" si="1">H3</f>
        <v>Digitaler Schattenfuchs</v>
      </c>
      <c r="I59" s="153" t="str">
        <f t="shared" si="1"/>
        <v>Schattenfuchs</v>
      </c>
      <c r="J59" s="152">
        <f t="shared" si="1"/>
        <v>0</v>
      </c>
      <c r="K59" s="153">
        <f t="shared" si="1"/>
        <v>0</v>
      </c>
      <c r="L59" s="153">
        <f t="shared" si="1"/>
        <v>0</v>
      </c>
      <c r="M59" s="152">
        <f t="shared" si="1"/>
        <v>0</v>
      </c>
      <c r="N59" s="154">
        <f t="shared" si="1"/>
        <v>0</v>
      </c>
      <c r="O59" s="154">
        <f t="shared" si="1"/>
        <v>0</v>
      </c>
      <c r="P59" s="154" t="str">
        <f t="shared" si="1"/>
        <v>Silberschwan</v>
      </c>
      <c r="Q59" s="411" t="s">
        <v>11</v>
      </c>
      <c r="R59" s="145" t="s">
        <v>93</v>
      </c>
      <c r="S59" s="165" t="s">
        <v>57</v>
      </c>
      <c r="T59" s="115"/>
      <c r="U59" s="115"/>
      <c r="V59" s="115"/>
      <c r="W59" s="115"/>
      <c r="X59" s="115"/>
      <c r="Y59" s="115"/>
      <c r="Z59" s="115"/>
      <c r="AA59" s="116"/>
      <c r="AB59" s="116"/>
      <c r="AC59" s="115"/>
      <c r="AD59" s="116"/>
      <c r="AE59" s="116"/>
      <c r="AF59" s="115"/>
      <c r="AG59" s="112"/>
      <c r="AH59" s="112"/>
      <c r="AI59" s="112"/>
      <c r="AJ59" s="112"/>
      <c r="AK59" s="112"/>
      <c r="AL59" s="112"/>
    </row>
    <row r="60" spans="1:38" ht="18" x14ac:dyDescent="0.3">
      <c r="B60" s="108"/>
      <c r="C60" s="194" t="s">
        <v>252</v>
      </c>
      <c r="D60" s="196" t="s">
        <v>124</v>
      </c>
      <c r="E60" s="196" t="s">
        <v>253</v>
      </c>
      <c r="F60" s="52" t="s">
        <v>84</v>
      </c>
      <c r="G60" s="415" t="s">
        <v>102</v>
      </c>
      <c r="H60" s="107" t="s">
        <v>4</v>
      </c>
      <c r="I60" s="107" t="s">
        <v>4</v>
      </c>
      <c r="J60" s="416"/>
      <c r="K60" s="416"/>
      <c r="L60" s="415"/>
      <c r="M60" s="415"/>
      <c r="N60" s="416"/>
      <c r="O60" s="416"/>
      <c r="P60" s="107" t="s">
        <v>4</v>
      </c>
      <c r="Q60" s="406" t="s">
        <v>5</v>
      </c>
      <c r="R60" s="54">
        <v>29.99</v>
      </c>
      <c r="S60" s="55" t="s">
        <v>281</v>
      </c>
      <c r="Z60" s="115"/>
      <c r="AA60" s="116"/>
      <c r="AB60" s="116"/>
      <c r="AC60" s="115"/>
      <c r="AD60" s="116"/>
      <c r="AE60" s="116"/>
      <c r="AF60" s="115"/>
    </row>
    <row r="61" spans="1:38" s="58" customFormat="1" ht="18" customHeight="1" x14ac:dyDescent="0.3">
      <c r="A61" s="115"/>
      <c r="B61" s="109"/>
      <c r="C61" s="203" t="s">
        <v>273</v>
      </c>
      <c r="D61" s="277" t="s">
        <v>124</v>
      </c>
      <c r="E61" s="278" t="s">
        <v>109</v>
      </c>
      <c r="F61" s="279" t="s">
        <v>283</v>
      </c>
      <c r="G61" s="417" t="s">
        <v>109</v>
      </c>
      <c r="H61" s="417" t="s">
        <v>109</v>
      </c>
      <c r="I61" s="417" t="s">
        <v>109</v>
      </c>
      <c r="J61" s="417"/>
      <c r="K61" s="417"/>
      <c r="L61" s="417"/>
      <c r="M61" s="417"/>
      <c r="N61" s="416"/>
      <c r="O61" s="417"/>
      <c r="P61" s="417" t="s">
        <v>109</v>
      </c>
      <c r="Q61" s="407" t="s">
        <v>5</v>
      </c>
      <c r="R61" s="280" t="s">
        <v>5</v>
      </c>
      <c r="S61" s="281" t="s">
        <v>274</v>
      </c>
      <c r="T61" s="115"/>
      <c r="U61" s="115"/>
      <c r="V61" s="115"/>
      <c r="W61" s="115"/>
      <c r="X61" s="115"/>
      <c r="Y61" s="115"/>
      <c r="Z61" s="115"/>
      <c r="AA61" s="116"/>
      <c r="AB61" s="116"/>
      <c r="AC61" s="115"/>
      <c r="AD61" s="116"/>
      <c r="AE61" s="116"/>
      <c r="AF61" s="115"/>
      <c r="AG61" s="115"/>
      <c r="AH61" s="115"/>
      <c r="AI61" s="115"/>
      <c r="AJ61" s="115"/>
      <c r="AK61" s="115"/>
      <c r="AL61" s="115"/>
    </row>
    <row r="62" spans="1:38" s="58" customFormat="1" ht="18" x14ac:dyDescent="0.3">
      <c r="A62" s="115"/>
      <c r="B62" s="109"/>
      <c r="C62" s="203" t="s">
        <v>275</v>
      </c>
      <c r="D62" s="277" t="s">
        <v>124</v>
      </c>
      <c r="E62" s="278" t="s">
        <v>109</v>
      </c>
      <c r="F62" s="279" t="s">
        <v>283</v>
      </c>
      <c r="G62" s="417" t="s">
        <v>109</v>
      </c>
      <c r="H62" s="417" t="s">
        <v>109</v>
      </c>
      <c r="I62" s="417" t="s">
        <v>109</v>
      </c>
      <c r="J62" s="417"/>
      <c r="K62" s="417"/>
      <c r="L62" s="417"/>
      <c r="M62" s="417"/>
      <c r="N62" s="416"/>
      <c r="O62" s="417"/>
      <c r="P62" s="417" t="s">
        <v>109</v>
      </c>
      <c r="Q62" s="407" t="s">
        <v>5</v>
      </c>
      <c r="R62" s="280" t="s">
        <v>5</v>
      </c>
      <c r="S62" s="281" t="s">
        <v>274</v>
      </c>
      <c r="T62" s="115"/>
      <c r="U62" s="115"/>
      <c r="V62" s="115"/>
      <c r="W62" s="115"/>
      <c r="X62" s="115"/>
      <c r="Y62" s="115"/>
      <c r="Z62" s="115"/>
      <c r="AA62" s="116"/>
      <c r="AB62" s="116"/>
      <c r="AC62" s="115"/>
      <c r="AD62" s="116"/>
      <c r="AE62" s="116"/>
      <c r="AF62" s="115"/>
      <c r="AG62" s="115"/>
      <c r="AH62" s="115"/>
      <c r="AI62" s="115"/>
      <c r="AJ62" s="115"/>
      <c r="AK62" s="115"/>
      <c r="AL62" s="115"/>
    </row>
    <row r="63" spans="1:38" s="58" customFormat="1" ht="18" x14ac:dyDescent="0.3">
      <c r="A63" s="115"/>
      <c r="B63" s="109"/>
      <c r="C63" s="203" t="s">
        <v>276</v>
      </c>
      <c r="D63" s="277" t="s">
        <v>124</v>
      </c>
      <c r="E63" s="278" t="s">
        <v>109</v>
      </c>
      <c r="F63" s="279" t="s">
        <v>283</v>
      </c>
      <c r="G63" s="417" t="s">
        <v>109</v>
      </c>
      <c r="H63" s="417" t="s">
        <v>109</v>
      </c>
      <c r="I63" s="417" t="s">
        <v>109</v>
      </c>
      <c r="J63" s="417"/>
      <c r="K63" s="417"/>
      <c r="L63" s="417"/>
      <c r="M63" s="417"/>
      <c r="N63" s="416"/>
      <c r="O63" s="417"/>
      <c r="P63" s="417" t="s">
        <v>109</v>
      </c>
      <c r="Q63" s="407" t="s">
        <v>5</v>
      </c>
      <c r="R63" s="280" t="s">
        <v>5</v>
      </c>
      <c r="S63" s="281" t="s">
        <v>274</v>
      </c>
      <c r="T63" s="115"/>
      <c r="U63" s="115"/>
      <c r="V63" s="115"/>
      <c r="W63" s="115"/>
      <c r="X63" s="115"/>
      <c r="Y63" s="115"/>
      <c r="Z63" s="115"/>
      <c r="AA63" s="116"/>
      <c r="AB63" s="116"/>
      <c r="AC63" s="115"/>
      <c r="AD63" s="116"/>
      <c r="AE63" s="116"/>
      <c r="AF63" s="115"/>
      <c r="AG63" s="115"/>
      <c r="AH63" s="115"/>
      <c r="AI63" s="115"/>
      <c r="AJ63" s="115"/>
      <c r="AK63" s="115"/>
      <c r="AL63" s="115"/>
    </row>
    <row r="64" spans="1:38" s="47" customFormat="1" ht="18" customHeight="1" x14ac:dyDescent="0.3">
      <c r="B64" s="204"/>
      <c r="C64" s="203" t="s">
        <v>277</v>
      </c>
      <c r="D64" s="277" t="s">
        <v>124</v>
      </c>
      <c r="E64" s="278" t="s">
        <v>109</v>
      </c>
      <c r="F64" s="279" t="s">
        <v>283</v>
      </c>
      <c r="G64" s="417" t="s">
        <v>109</v>
      </c>
      <c r="H64" s="417" t="s">
        <v>109</v>
      </c>
      <c r="I64" s="417" t="s">
        <v>109</v>
      </c>
      <c r="J64" s="417"/>
      <c r="K64" s="417"/>
      <c r="L64" s="417"/>
      <c r="M64" s="417"/>
      <c r="N64" s="416"/>
      <c r="O64" s="417"/>
      <c r="P64" s="417" t="s">
        <v>109</v>
      </c>
      <c r="Q64" s="407" t="s">
        <v>5</v>
      </c>
      <c r="R64" s="280" t="s">
        <v>5</v>
      </c>
      <c r="S64" s="281" t="s">
        <v>274</v>
      </c>
      <c r="T64" s="115"/>
      <c r="U64" s="115"/>
      <c r="V64" s="115"/>
      <c r="W64" s="115"/>
      <c r="X64" s="115"/>
      <c r="Y64" s="115"/>
      <c r="Z64" s="115"/>
      <c r="AA64" s="116"/>
      <c r="AB64" s="116"/>
      <c r="AC64" s="115"/>
      <c r="AD64" s="116"/>
      <c r="AE64" s="116"/>
      <c r="AF64" s="115"/>
    </row>
    <row r="65" spans="1:38" s="53" customFormat="1" ht="18" x14ac:dyDescent="0.3">
      <c r="A65" s="114"/>
      <c r="B65" s="108"/>
      <c r="C65" s="51" t="s">
        <v>260</v>
      </c>
      <c r="D65" s="201" t="s">
        <v>124</v>
      </c>
      <c r="E65" s="196" t="s">
        <v>261</v>
      </c>
      <c r="F65" s="52" t="s">
        <v>84</v>
      </c>
      <c r="G65" s="415" t="s">
        <v>102</v>
      </c>
      <c r="H65" s="107" t="s">
        <v>4</v>
      </c>
      <c r="I65" s="107" t="s">
        <v>4</v>
      </c>
      <c r="J65" s="416"/>
      <c r="K65" s="415"/>
      <c r="L65" s="415"/>
      <c r="M65" s="415"/>
      <c r="N65" s="416"/>
      <c r="O65" s="416"/>
      <c r="P65" s="107" t="s">
        <v>4</v>
      </c>
      <c r="Q65" s="406" t="s">
        <v>5</v>
      </c>
      <c r="R65" s="54">
        <v>5.99</v>
      </c>
      <c r="S65" s="55" t="s">
        <v>281</v>
      </c>
      <c r="T65" s="114"/>
      <c r="U65" s="114"/>
      <c r="V65" s="114"/>
      <c r="W65" s="114"/>
      <c r="X65" s="114"/>
      <c r="Y65" s="114"/>
      <c r="Z65" s="115"/>
      <c r="AA65" s="116"/>
      <c r="AB65" s="116"/>
      <c r="AC65" s="115"/>
      <c r="AD65" s="116"/>
      <c r="AE65" s="116"/>
      <c r="AF65" s="115"/>
      <c r="AG65" s="114"/>
      <c r="AH65" s="114"/>
      <c r="AI65" s="114"/>
      <c r="AJ65" s="114"/>
      <c r="AK65" s="114"/>
      <c r="AL65" s="114"/>
    </row>
    <row r="66" spans="1:38" s="58" customFormat="1" ht="18" customHeight="1" x14ac:dyDescent="0.3">
      <c r="A66" s="115"/>
      <c r="B66" s="109"/>
      <c r="C66" s="203" t="s">
        <v>264</v>
      </c>
      <c r="D66" s="277" t="s">
        <v>124</v>
      </c>
      <c r="E66" s="278" t="s">
        <v>265</v>
      </c>
      <c r="F66" s="279" t="s">
        <v>84</v>
      </c>
      <c r="G66" s="417" t="s">
        <v>109</v>
      </c>
      <c r="H66" s="417" t="s">
        <v>109</v>
      </c>
      <c r="I66" s="417" t="s">
        <v>109</v>
      </c>
      <c r="J66" s="417"/>
      <c r="K66" s="417"/>
      <c r="L66" s="417"/>
      <c r="M66" s="417"/>
      <c r="N66" s="416"/>
      <c r="O66" s="417"/>
      <c r="P66" s="417" t="s">
        <v>109</v>
      </c>
      <c r="Q66" s="407" t="s">
        <v>5</v>
      </c>
      <c r="R66" s="280" t="s">
        <v>5</v>
      </c>
      <c r="S66" s="281" t="s">
        <v>267</v>
      </c>
      <c r="T66" s="115"/>
      <c r="U66" s="115"/>
      <c r="V66" s="115"/>
      <c r="W66" s="115"/>
      <c r="X66" s="115"/>
      <c r="Y66" s="115"/>
      <c r="Z66" s="115"/>
      <c r="AA66" s="116"/>
      <c r="AB66" s="116"/>
      <c r="AC66" s="115"/>
      <c r="AD66" s="116"/>
      <c r="AE66" s="116"/>
      <c r="AF66" s="115"/>
      <c r="AG66" s="115"/>
      <c r="AH66" s="115"/>
      <c r="AI66" s="115"/>
      <c r="AJ66" s="115"/>
      <c r="AK66" s="115"/>
      <c r="AL66" s="115"/>
    </row>
    <row r="67" spans="1:38" s="47" customFormat="1" ht="18" customHeight="1" x14ac:dyDescent="0.3">
      <c r="B67" s="204"/>
      <c r="C67" s="203" t="s">
        <v>278</v>
      </c>
      <c r="D67" s="277" t="s">
        <v>124</v>
      </c>
      <c r="E67" s="278" t="s">
        <v>279</v>
      </c>
      <c r="F67" s="279" t="s">
        <v>84</v>
      </c>
      <c r="G67" s="417" t="s">
        <v>109</v>
      </c>
      <c r="H67" s="417" t="s">
        <v>109</v>
      </c>
      <c r="I67" s="417" t="s">
        <v>109</v>
      </c>
      <c r="J67" s="417"/>
      <c r="K67" s="417"/>
      <c r="L67" s="417"/>
      <c r="M67" s="417"/>
      <c r="N67" s="416"/>
      <c r="O67" s="417"/>
      <c r="P67" s="417" t="s">
        <v>109</v>
      </c>
      <c r="Q67" s="407" t="s">
        <v>5</v>
      </c>
      <c r="R67" s="280" t="s">
        <v>5</v>
      </c>
      <c r="S67" s="281" t="s">
        <v>267</v>
      </c>
      <c r="T67" s="115"/>
      <c r="U67" s="115"/>
      <c r="V67" s="115"/>
      <c r="W67" s="115"/>
      <c r="X67" s="115"/>
      <c r="Y67" s="115"/>
      <c r="Z67" s="115"/>
      <c r="AA67" s="116"/>
      <c r="AB67" s="116"/>
      <c r="AC67" s="115"/>
      <c r="AD67" s="116"/>
      <c r="AE67" s="116"/>
      <c r="AF67" s="115"/>
    </row>
    <row r="68" spans="1:38" s="53" customFormat="1" ht="18" thickBot="1" x14ac:dyDescent="0.35">
      <c r="A68" s="114"/>
      <c r="B68" s="573"/>
      <c r="C68" s="566" t="s">
        <v>408</v>
      </c>
      <c r="D68" s="567" t="s">
        <v>124</v>
      </c>
      <c r="E68" s="568" t="s">
        <v>256</v>
      </c>
      <c r="F68" s="569" t="s">
        <v>409</v>
      </c>
      <c r="G68" s="574" t="s">
        <v>102</v>
      </c>
      <c r="H68" s="574" t="s">
        <v>102</v>
      </c>
      <c r="I68" s="574" t="s">
        <v>102</v>
      </c>
      <c r="J68" s="574" t="s">
        <v>102</v>
      </c>
      <c r="K68" s="574" t="s">
        <v>102</v>
      </c>
      <c r="L68" s="574" t="s">
        <v>102</v>
      </c>
      <c r="M68" s="574" t="s">
        <v>102</v>
      </c>
      <c r="N68" s="574" t="s">
        <v>102</v>
      </c>
      <c r="O68" s="574" t="s">
        <v>102</v>
      </c>
      <c r="P68" s="574" t="s">
        <v>102</v>
      </c>
      <c r="Q68" s="570" t="s">
        <v>5</v>
      </c>
      <c r="R68" s="571">
        <v>19.989999999999998</v>
      </c>
      <c r="S68" s="572" t="s">
        <v>407</v>
      </c>
      <c r="T68" s="111"/>
      <c r="U68" s="111"/>
      <c r="V68" s="111"/>
      <c r="W68" s="111"/>
      <c r="X68" s="111"/>
      <c r="Y68" s="111"/>
      <c r="Z68" s="111"/>
      <c r="AA68" s="402"/>
      <c r="AB68" s="402"/>
      <c r="AC68" s="111"/>
      <c r="AD68" s="402"/>
      <c r="AE68" s="402"/>
      <c r="AF68" s="111"/>
      <c r="AG68" s="114"/>
      <c r="AH68" s="114"/>
      <c r="AI68" s="114"/>
      <c r="AJ68" s="114"/>
      <c r="AK68" s="114"/>
      <c r="AL68" s="114"/>
    </row>
    <row r="69" spans="1:38" s="1" customFormat="1" ht="15.75" thickBot="1" x14ac:dyDescent="0.35">
      <c r="A69" s="116"/>
      <c r="B69" s="230" t="s">
        <v>106</v>
      </c>
      <c r="C69" s="671" t="s">
        <v>129</v>
      </c>
      <c r="D69" s="672"/>
      <c r="E69" s="672"/>
      <c r="F69" s="673"/>
      <c r="G69" s="167">
        <f t="shared" ref="G69:P69" si="2">SUMIF(G$60:G$68,"µ",$R$60:$R$68)</f>
        <v>0</v>
      </c>
      <c r="H69" s="167">
        <f t="shared" si="2"/>
        <v>35.979999999999997</v>
      </c>
      <c r="I69" s="167">
        <f t="shared" si="2"/>
        <v>35.979999999999997</v>
      </c>
      <c r="J69" s="167">
        <f t="shared" si="2"/>
        <v>0</v>
      </c>
      <c r="K69" s="167">
        <f t="shared" si="2"/>
        <v>0</v>
      </c>
      <c r="L69" s="167">
        <f t="shared" si="2"/>
        <v>0</v>
      </c>
      <c r="M69" s="167">
        <f t="shared" si="2"/>
        <v>0</v>
      </c>
      <c r="N69" s="167">
        <f t="shared" si="2"/>
        <v>0</v>
      </c>
      <c r="O69" s="167">
        <f t="shared" si="2"/>
        <v>0</v>
      </c>
      <c r="P69" s="168">
        <f t="shared" si="2"/>
        <v>35.979999999999997</v>
      </c>
      <c r="Q69" s="410">
        <f>SUM(Q60:Q68)</f>
        <v>0</v>
      </c>
      <c r="R69" s="169">
        <f>SUM(R60:R68)</f>
        <v>55.97</v>
      </c>
      <c r="S69" s="237"/>
      <c r="T69" s="115"/>
      <c r="U69" s="115"/>
      <c r="V69" s="115"/>
      <c r="W69" s="115"/>
      <c r="X69" s="115"/>
      <c r="Y69" s="115"/>
      <c r="Z69" s="115"/>
      <c r="AA69" s="116"/>
      <c r="AB69" s="116"/>
      <c r="AC69" s="115"/>
      <c r="AD69" s="116"/>
      <c r="AE69" s="116"/>
      <c r="AF69" s="115"/>
      <c r="AG69" s="116"/>
      <c r="AH69" s="116"/>
      <c r="AI69" s="116"/>
      <c r="AJ69" s="116"/>
      <c r="AK69" s="116"/>
      <c r="AL69" s="116"/>
    </row>
    <row r="70" spans="1:38" s="1" customFormat="1" ht="15.75" thickBot="1" x14ac:dyDescent="0.35">
      <c r="A70" s="116"/>
      <c r="B70" s="166" t="s">
        <v>107</v>
      </c>
      <c r="C70" s="671" t="s">
        <v>322</v>
      </c>
      <c r="D70" s="672"/>
      <c r="E70" s="672"/>
      <c r="F70" s="673"/>
      <c r="G70" s="167">
        <f t="shared" ref="G70:R70" si="3">G57+G69</f>
        <v>0</v>
      </c>
      <c r="H70" s="167">
        <f t="shared" si="3"/>
        <v>35.979999999999997</v>
      </c>
      <c r="I70" s="167">
        <f t="shared" si="3"/>
        <v>95.88</v>
      </c>
      <c r="J70" s="167">
        <f t="shared" si="3"/>
        <v>0</v>
      </c>
      <c r="K70" s="167">
        <f t="shared" si="3"/>
        <v>0</v>
      </c>
      <c r="L70" s="167">
        <f t="shared" si="3"/>
        <v>0</v>
      </c>
      <c r="M70" s="167">
        <f t="shared" si="3"/>
        <v>0</v>
      </c>
      <c r="N70" s="167">
        <f t="shared" si="3"/>
        <v>0</v>
      </c>
      <c r="O70" s="167">
        <f t="shared" si="3"/>
        <v>0</v>
      </c>
      <c r="P70" s="168">
        <f t="shared" si="3"/>
        <v>145.78</v>
      </c>
      <c r="Q70" s="410">
        <f t="shared" si="3"/>
        <v>1091.1400000000012</v>
      </c>
      <c r="R70" s="169">
        <f t="shared" si="3"/>
        <v>1156.9100000000014</v>
      </c>
      <c r="S70" s="116"/>
      <c r="T70" s="115"/>
      <c r="U70" s="115"/>
      <c r="V70" s="115"/>
      <c r="W70" s="115"/>
      <c r="X70" s="115"/>
      <c r="Y70" s="115"/>
      <c r="Z70" s="115"/>
      <c r="AA70" s="116"/>
      <c r="AB70" s="116"/>
      <c r="AC70" s="115"/>
      <c r="AD70" s="116"/>
      <c r="AE70" s="116"/>
      <c r="AF70" s="115"/>
      <c r="AG70" s="116"/>
      <c r="AH70" s="116"/>
      <c r="AI70" s="116"/>
      <c r="AJ70" s="116"/>
      <c r="AK70" s="116"/>
      <c r="AL70" s="116"/>
    </row>
    <row r="71" spans="1:38" s="1" customFormat="1" ht="6.75" customHeight="1" thickBot="1" x14ac:dyDescent="0.35">
      <c r="A71" s="116"/>
      <c r="B71" s="131"/>
      <c r="C71" s="132"/>
      <c r="D71" s="198"/>
      <c r="E71" s="198"/>
      <c r="F71" s="132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4"/>
      <c r="R71" s="135"/>
      <c r="S71" s="116"/>
      <c r="T71" s="115"/>
      <c r="U71" s="115"/>
      <c r="V71" s="115"/>
      <c r="W71" s="115"/>
      <c r="X71" s="115"/>
      <c r="Y71" s="115"/>
      <c r="Z71" s="115"/>
      <c r="AA71" s="116"/>
      <c r="AB71" s="116"/>
      <c r="AC71" s="115"/>
      <c r="AD71" s="116"/>
      <c r="AE71" s="116"/>
      <c r="AF71" s="115"/>
      <c r="AG71" s="116"/>
      <c r="AH71" s="116"/>
      <c r="AI71" s="116"/>
      <c r="AJ71" s="116"/>
      <c r="AK71" s="116"/>
      <c r="AL71" s="116"/>
    </row>
    <row r="72" spans="1:38" s="1" customFormat="1" ht="15.75" thickBot="1" x14ac:dyDescent="0.35">
      <c r="A72" s="116"/>
      <c r="B72" s="170" t="s">
        <v>6</v>
      </c>
      <c r="C72" s="668" t="s">
        <v>130</v>
      </c>
      <c r="D72" s="669"/>
      <c r="E72" s="669"/>
      <c r="F72" s="670"/>
      <c r="G72" s="146">
        <f>G$7+SUMIFS($Q$8:$Q$68,$B$8:$B$68,"x",G$8:G$68,"Zusatzprodukt")+SUMIFS($R$8:$R$68,$B$8:$B$68,"x",G$8:G$68,"Kauf nach CF")</f>
        <v>0</v>
      </c>
      <c r="H72" s="146">
        <f>H$7+SUMIFS($Q$8:$Q$68,$B$8:$B$68,"x",H$8:H$68,"Zusatzprodukt")+SUMIFS($R$8:$R$68,$B$8:$B$68,"x",H$8:H$68,"Kauf nach CF")</f>
        <v>25</v>
      </c>
      <c r="I72" s="146">
        <f>I$7+SUMIFS($Q$8:$Q$68,$B$8:$B$68,"x",I$8:I$68,"Zusatzprodukt")+SUMIFS($R$8:$R$68,$B$8:$B$68,"x",I$8:I$68,"Kauf nach CF")</f>
        <v>50</v>
      </c>
      <c r="J72" s="146"/>
      <c r="K72" s="146"/>
      <c r="L72" s="146"/>
      <c r="M72" s="146"/>
      <c r="N72" s="146"/>
      <c r="O72" s="146"/>
      <c r="P72" s="147">
        <f>P$7+SUMIFS($Q$8:$Q$68,$B$8:$B$68,"x",P$8:P$68,"Zusatzprodukt")+SUMIFS($R$8:$R$68,$B$8:$B$68,"x",P$8:P$68,"Kauf nach CF")</f>
        <v>85</v>
      </c>
      <c r="Q72" s="134"/>
      <c r="R72" s="135"/>
      <c r="S72" s="116"/>
      <c r="T72" s="115"/>
      <c r="U72" s="115"/>
      <c r="V72" s="115"/>
      <c r="W72" s="115"/>
      <c r="X72" s="115"/>
      <c r="Y72" s="115"/>
      <c r="Z72" s="115"/>
      <c r="AA72" s="116"/>
      <c r="AB72" s="116"/>
      <c r="AC72" s="115"/>
      <c r="AD72" s="116"/>
      <c r="AE72" s="116"/>
      <c r="AF72" s="115"/>
      <c r="AG72" s="116"/>
      <c r="AH72" s="116"/>
      <c r="AI72" s="116"/>
      <c r="AJ72" s="116"/>
      <c r="AK72" s="116"/>
      <c r="AL72" s="116"/>
    </row>
    <row r="73" spans="1:38" s="1" customFormat="1" ht="28.5" customHeight="1" x14ac:dyDescent="0.3">
      <c r="A73" s="116"/>
      <c r="B73" s="131"/>
      <c r="C73" s="660" t="s">
        <v>317</v>
      </c>
      <c r="D73" s="661"/>
      <c r="E73" s="661"/>
      <c r="F73" s="187" t="s">
        <v>148</v>
      </c>
      <c r="G73" s="188" t="s">
        <v>7</v>
      </c>
      <c r="H73" s="412">
        <f>$G$72-H$72</f>
        <v>-25</v>
      </c>
      <c r="I73" s="412">
        <f>$G$72-I$72</f>
        <v>-50</v>
      </c>
      <c r="J73" s="412">
        <f>$G$72-J$72</f>
        <v>0</v>
      </c>
      <c r="K73" s="412">
        <f>$G$72-K$72</f>
        <v>0</v>
      </c>
      <c r="L73" s="412">
        <f>$G$72-L$72</f>
        <v>0</v>
      </c>
      <c r="M73" s="412"/>
      <c r="N73" s="412"/>
      <c r="O73" s="412">
        <f>$G$72-O$72</f>
        <v>0</v>
      </c>
      <c r="P73" s="413">
        <f>$G$72-P$72</f>
        <v>-85</v>
      </c>
      <c r="Q73" s="134"/>
      <c r="R73" s="135"/>
      <c r="S73" s="116"/>
      <c r="T73" s="115"/>
      <c r="U73" s="115"/>
      <c r="V73" s="115"/>
      <c r="W73" s="115"/>
      <c r="X73" s="115"/>
      <c r="Y73" s="115"/>
      <c r="Z73" s="115"/>
      <c r="AA73" s="116"/>
      <c r="AB73" s="116"/>
      <c r="AC73" s="115"/>
      <c r="AD73" s="116"/>
      <c r="AE73" s="116"/>
      <c r="AF73" s="115"/>
      <c r="AG73" s="116"/>
      <c r="AH73" s="116"/>
      <c r="AI73" s="116"/>
      <c r="AJ73" s="116"/>
      <c r="AK73" s="116"/>
      <c r="AL73" s="116"/>
    </row>
    <row r="74" spans="1:38" s="1" customFormat="1" ht="28.5" customHeight="1" x14ac:dyDescent="0.3">
      <c r="A74" s="116"/>
      <c r="B74" s="131"/>
      <c r="C74" s="662"/>
      <c r="D74" s="663"/>
      <c r="E74" s="663"/>
      <c r="F74" s="187" t="str">
        <f>H3</f>
        <v>Digitaler Schattenfuchs</v>
      </c>
      <c r="G74" s="412">
        <f>$H$72-G$72</f>
        <v>25</v>
      </c>
      <c r="H74" s="188" t="s">
        <v>7</v>
      </c>
      <c r="I74" s="412">
        <f>$H$72-I$72</f>
        <v>-25</v>
      </c>
      <c r="J74" s="412">
        <f>$H$72-J$72</f>
        <v>25</v>
      </c>
      <c r="K74" s="412">
        <f>$H$72-K$72</f>
        <v>25</v>
      </c>
      <c r="L74" s="412">
        <f>$H$72-L$72</f>
        <v>25</v>
      </c>
      <c r="M74" s="412"/>
      <c r="N74" s="412"/>
      <c r="O74" s="412">
        <f>$H$72-O$72</f>
        <v>25</v>
      </c>
      <c r="P74" s="413">
        <f>$H$72-P$72</f>
        <v>-60</v>
      </c>
      <c r="Q74" s="134"/>
      <c r="R74" s="135"/>
      <c r="S74" s="116"/>
      <c r="T74" s="115"/>
      <c r="U74" s="115"/>
      <c r="V74" s="115"/>
      <c r="W74" s="115"/>
      <c r="X74" s="115"/>
      <c r="Y74" s="115"/>
      <c r="Z74" s="115"/>
      <c r="AA74" s="116"/>
      <c r="AB74" s="116"/>
      <c r="AC74" s="115"/>
      <c r="AD74" s="116"/>
      <c r="AE74" s="116"/>
      <c r="AF74" s="115"/>
      <c r="AG74" s="116"/>
      <c r="AH74" s="116"/>
      <c r="AI74" s="116"/>
      <c r="AJ74" s="116"/>
      <c r="AK74" s="116"/>
      <c r="AL74" s="116"/>
    </row>
    <row r="75" spans="1:38" s="1" customFormat="1" ht="28.5" customHeight="1" x14ac:dyDescent="0.3">
      <c r="A75" s="116"/>
      <c r="B75" s="131"/>
      <c r="C75" s="662"/>
      <c r="D75" s="663"/>
      <c r="E75" s="663"/>
      <c r="F75" s="187" t="str">
        <f>I3</f>
        <v>Schattenfuchs</v>
      </c>
      <c r="G75" s="412">
        <f>$I$72-G$72</f>
        <v>50</v>
      </c>
      <c r="H75" s="412">
        <f>$I$72-H$72</f>
        <v>25</v>
      </c>
      <c r="I75" s="188" t="s">
        <v>7</v>
      </c>
      <c r="J75" s="412">
        <f>$I$72-J$72</f>
        <v>50</v>
      </c>
      <c r="K75" s="412">
        <f>$I$72-K$72</f>
        <v>50</v>
      </c>
      <c r="L75" s="412">
        <f>$I$72-L$72</f>
        <v>50</v>
      </c>
      <c r="M75" s="412"/>
      <c r="N75" s="412"/>
      <c r="O75" s="412">
        <f>$I$72-O$72</f>
        <v>50</v>
      </c>
      <c r="P75" s="413">
        <f>$I$72-P$72</f>
        <v>-35</v>
      </c>
      <c r="Q75" s="134"/>
      <c r="R75" s="135"/>
      <c r="S75" s="116"/>
      <c r="T75" s="115"/>
      <c r="U75" s="115"/>
      <c r="V75" s="115"/>
      <c r="W75" s="115"/>
      <c r="X75" s="115"/>
      <c r="Y75" s="115"/>
      <c r="Z75" s="115"/>
      <c r="AA75" s="116"/>
      <c r="AB75" s="116"/>
      <c r="AC75" s="115"/>
      <c r="AD75" s="116"/>
      <c r="AE75" s="116"/>
      <c r="AF75" s="115"/>
      <c r="AG75" s="116"/>
      <c r="AH75" s="116"/>
      <c r="AI75" s="116"/>
      <c r="AJ75" s="116"/>
      <c r="AK75" s="116"/>
      <c r="AL75" s="116"/>
    </row>
    <row r="76" spans="1:38" s="1" customFormat="1" ht="18" hidden="1" customHeight="1" outlineLevel="1" x14ac:dyDescent="0.25">
      <c r="A76" s="116"/>
      <c r="B76" s="131"/>
      <c r="C76" s="662"/>
      <c r="D76" s="663"/>
      <c r="E76" s="663"/>
      <c r="F76" s="187">
        <f>J3</f>
        <v>0</v>
      </c>
      <c r="G76" s="412">
        <f>$J$72-G$72</f>
        <v>0</v>
      </c>
      <c r="H76" s="412">
        <f>$J$72-H$72</f>
        <v>-25</v>
      </c>
      <c r="I76" s="412">
        <f>$J$72-I$72</f>
        <v>-50</v>
      </c>
      <c r="J76" s="188" t="s">
        <v>7</v>
      </c>
      <c r="K76" s="412">
        <f>$J$72-K$72</f>
        <v>0</v>
      </c>
      <c r="L76" s="412">
        <f>$J$72-L$72</f>
        <v>0</v>
      </c>
      <c r="M76" s="412"/>
      <c r="N76" s="412"/>
      <c r="O76" s="412">
        <f>$J$72-O$72</f>
        <v>0</v>
      </c>
      <c r="P76" s="413">
        <f>$J$72-P$72</f>
        <v>-85</v>
      </c>
      <c r="Q76" s="134"/>
      <c r="R76" s="135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</row>
    <row r="77" spans="1:38" s="1" customFormat="1" ht="18" hidden="1" customHeight="1" outlineLevel="1" x14ac:dyDescent="0.25">
      <c r="A77" s="116"/>
      <c r="B77" s="131"/>
      <c r="C77" s="662"/>
      <c r="D77" s="663"/>
      <c r="E77" s="663"/>
      <c r="F77" s="187">
        <f>K3</f>
        <v>0</v>
      </c>
      <c r="G77" s="412">
        <f>$K$72-G$72</f>
        <v>0</v>
      </c>
      <c r="H77" s="412">
        <f>$K$72-H$72</f>
        <v>-25</v>
      </c>
      <c r="I77" s="412">
        <f>$K$72-I$72</f>
        <v>-50</v>
      </c>
      <c r="J77" s="412">
        <f>$K$72-J$72</f>
        <v>0</v>
      </c>
      <c r="K77" s="188" t="s">
        <v>7</v>
      </c>
      <c r="L77" s="412">
        <f>$K$72-L$72</f>
        <v>0</v>
      </c>
      <c r="M77" s="412"/>
      <c r="N77" s="412"/>
      <c r="O77" s="412">
        <f>$K$72-O$72</f>
        <v>0</v>
      </c>
      <c r="P77" s="413">
        <f>$K$72-P$72</f>
        <v>-85</v>
      </c>
      <c r="Q77" s="134"/>
      <c r="R77" s="135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</row>
    <row r="78" spans="1:38" s="1" customFormat="1" ht="18" hidden="1" customHeight="1" outlineLevel="1" x14ac:dyDescent="0.25">
      <c r="A78" s="116"/>
      <c r="B78" s="131"/>
      <c r="C78" s="662"/>
      <c r="D78" s="663"/>
      <c r="E78" s="663"/>
      <c r="F78" s="187">
        <f>L3</f>
        <v>0</v>
      </c>
      <c r="G78" s="412">
        <f>$L$72-G$72</f>
        <v>0</v>
      </c>
      <c r="H78" s="412">
        <f>$L$72-H$72</f>
        <v>-25</v>
      </c>
      <c r="I78" s="412">
        <f>$L$72-I$72</f>
        <v>-50</v>
      </c>
      <c r="J78" s="412">
        <f>$L$72-J$72</f>
        <v>0</v>
      </c>
      <c r="K78" s="412">
        <f>$L$72-K$72</f>
        <v>0</v>
      </c>
      <c r="L78" s="188" t="s">
        <v>7</v>
      </c>
      <c r="M78" s="412"/>
      <c r="N78" s="412"/>
      <c r="O78" s="412">
        <f>$L$72-O$72</f>
        <v>0</v>
      </c>
      <c r="P78" s="413">
        <f>$L$72-P$72</f>
        <v>-85</v>
      </c>
      <c r="Q78" s="134"/>
      <c r="R78" s="135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</row>
    <row r="79" spans="1:38" s="1" customFormat="1" ht="18" hidden="1" customHeight="1" outlineLevel="1" x14ac:dyDescent="0.25">
      <c r="A79" s="116"/>
      <c r="B79" s="131"/>
      <c r="C79" s="662"/>
      <c r="D79" s="663"/>
      <c r="E79" s="663"/>
      <c r="F79" s="187">
        <f>M3</f>
        <v>0</v>
      </c>
      <c r="G79" s="412">
        <f t="shared" ref="G79:L79" si="4">$M$72-G$72</f>
        <v>0</v>
      </c>
      <c r="H79" s="412">
        <f t="shared" si="4"/>
        <v>-25</v>
      </c>
      <c r="I79" s="412">
        <f t="shared" si="4"/>
        <v>-50</v>
      </c>
      <c r="J79" s="412">
        <f t="shared" si="4"/>
        <v>0</v>
      </c>
      <c r="K79" s="412">
        <f t="shared" si="4"/>
        <v>0</v>
      </c>
      <c r="L79" s="412">
        <f t="shared" si="4"/>
        <v>0</v>
      </c>
      <c r="M79" s="188" t="s">
        <v>7</v>
      </c>
      <c r="N79" s="412"/>
      <c r="O79" s="412">
        <f>$M$72-O$72</f>
        <v>0</v>
      </c>
      <c r="P79" s="413">
        <f>$M$72-P$72</f>
        <v>-85</v>
      </c>
      <c r="Q79" s="134"/>
      <c r="R79" s="135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</row>
    <row r="80" spans="1:38" s="1" customFormat="1" ht="18" hidden="1" customHeight="1" outlineLevel="1" x14ac:dyDescent="0.25">
      <c r="A80" s="116"/>
      <c r="B80" s="131"/>
      <c r="C80" s="662"/>
      <c r="D80" s="663"/>
      <c r="E80" s="663"/>
      <c r="F80" s="187">
        <f>N3</f>
        <v>0</v>
      </c>
      <c r="G80" s="412">
        <f t="shared" ref="G80:L80" si="5">$N$72-G$72</f>
        <v>0</v>
      </c>
      <c r="H80" s="412">
        <f t="shared" si="5"/>
        <v>-25</v>
      </c>
      <c r="I80" s="412">
        <f t="shared" si="5"/>
        <v>-50</v>
      </c>
      <c r="J80" s="412">
        <f t="shared" si="5"/>
        <v>0</v>
      </c>
      <c r="K80" s="412">
        <f t="shared" si="5"/>
        <v>0</v>
      </c>
      <c r="L80" s="412">
        <f t="shared" si="5"/>
        <v>0</v>
      </c>
      <c r="M80" s="412"/>
      <c r="N80" s="188" t="s">
        <v>7</v>
      </c>
      <c r="O80" s="412">
        <f>$N$72-O$72</f>
        <v>0</v>
      </c>
      <c r="P80" s="413">
        <f>$N$72-P$72</f>
        <v>-85</v>
      </c>
      <c r="Q80" s="134"/>
      <c r="R80" s="135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</row>
    <row r="81" spans="1:38" s="1" customFormat="1" ht="18" hidden="1" customHeight="1" outlineLevel="1" collapsed="1" x14ac:dyDescent="0.25">
      <c r="A81" s="116"/>
      <c r="B81" s="131"/>
      <c r="C81" s="662"/>
      <c r="D81" s="663"/>
      <c r="E81" s="663"/>
      <c r="F81" s="187">
        <f>O3</f>
        <v>0</v>
      </c>
      <c r="G81" s="412">
        <f t="shared" ref="G81:L81" si="6">$O$72-G$72</f>
        <v>0</v>
      </c>
      <c r="H81" s="412">
        <f t="shared" si="6"/>
        <v>-25</v>
      </c>
      <c r="I81" s="412">
        <f t="shared" si="6"/>
        <v>-50</v>
      </c>
      <c r="J81" s="412">
        <f t="shared" si="6"/>
        <v>0</v>
      </c>
      <c r="K81" s="412">
        <f t="shared" si="6"/>
        <v>0</v>
      </c>
      <c r="L81" s="412">
        <f t="shared" si="6"/>
        <v>0</v>
      </c>
      <c r="M81" s="412"/>
      <c r="N81" s="412"/>
      <c r="O81" s="188" t="s">
        <v>7</v>
      </c>
      <c r="P81" s="413">
        <f>$O$72-P$72</f>
        <v>-85</v>
      </c>
      <c r="Q81" s="134"/>
      <c r="R81" s="135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</row>
    <row r="82" spans="1:38" s="1" customFormat="1" ht="29.25" customHeight="1" collapsed="1" thickBot="1" x14ac:dyDescent="0.3">
      <c r="A82" s="116"/>
      <c r="B82" s="131"/>
      <c r="C82" s="664"/>
      <c r="D82" s="665"/>
      <c r="E82" s="665"/>
      <c r="F82" s="189" t="str">
        <f>P3</f>
        <v>Silberschwan</v>
      </c>
      <c r="G82" s="414">
        <f t="shared" ref="G82:L82" si="7">$P$72-G$72</f>
        <v>85</v>
      </c>
      <c r="H82" s="414">
        <f t="shared" si="7"/>
        <v>60</v>
      </c>
      <c r="I82" s="414">
        <f t="shared" si="7"/>
        <v>35</v>
      </c>
      <c r="J82" s="414">
        <f t="shared" si="7"/>
        <v>85</v>
      </c>
      <c r="K82" s="414">
        <f t="shared" si="7"/>
        <v>85</v>
      </c>
      <c r="L82" s="414">
        <f t="shared" si="7"/>
        <v>85</v>
      </c>
      <c r="M82" s="414"/>
      <c r="N82" s="414"/>
      <c r="O82" s="414">
        <f>$P$72-O$72</f>
        <v>85</v>
      </c>
      <c r="P82" s="190" t="s">
        <v>7</v>
      </c>
      <c r="Q82" s="134"/>
      <c r="R82" s="135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</row>
    <row r="83" spans="1:38" s="1" customFormat="1" ht="15.75" thickBot="1" x14ac:dyDescent="0.3">
      <c r="A83" s="116"/>
      <c r="B83" s="131"/>
      <c r="C83" s="403"/>
      <c r="D83" s="404"/>
      <c r="E83" s="404"/>
      <c r="F83" s="403"/>
      <c r="G83" s="405"/>
      <c r="H83" s="405"/>
      <c r="I83" s="405"/>
      <c r="J83" s="405"/>
      <c r="K83" s="133"/>
      <c r="L83" s="133"/>
      <c r="M83" s="133"/>
      <c r="N83" s="133"/>
      <c r="O83" s="133"/>
      <c r="P83" s="133"/>
      <c r="Q83" s="134"/>
      <c r="R83" s="135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</row>
    <row r="84" spans="1:38" s="1" customFormat="1" x14ac:dyDescent="0.3">
      <c r="A84" s="116"/>
      <c r="B84" s="637" t="s">
        <v>8</v>
      </c>
      <c r="C84" s="645" t="s">
        <v>316</v>
      </c>
      <c r="D84" s="646"/>
      <c r="E84" s="646"/>
      <c r="F84" s="647"/>
      <c r="G84" s="642">
        <f>SUMIF($B$8:$B$68,"x",$R$8:$R$68)</f>
        <v>0</v>
      </c>
      <c r="H84" s="643"/>
      <c r="I84" s="643"/>
      <c r="J84" s="643"/>
      <c r="K84" s="643"/>
      <c r="L84" s="643"/>
      <c r="M84" s="643"/>
      <c r="N84" s="643"/>
      <c r="O84" s="643"/>
      <c r="P84" s="644"/>
      <c r="Q84" s="136"/>
      <c r="R84" s="137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</row>
    <row r="85" spans="1:38" s="1" customFormat="1" x14ac:dyDescent="0.3">
      <c r="A85" s="116"/>
      <c r="B85" s="638"/>
      <c r="C85" s="654" t="s">
        <v>131</v>
      </c>
      <c r="D85" s="655"/>
      <c r="E85" s="655"/>
      <c r="F85" s="656"/>
      <c r="G85" s="161">
        <f t="shared" ref="G85:I85" si="8">$G$84-G72</f>
        <v>0</v>
      </c>
      <c r="H85" s="161">
        <f t="shared" si="8"/>
        <v>-25</v>
      </c>
      <c r="I85" s="161">
        <f t="shared" si="8"/>
        <v>-50</v>
      </c>
      <c r="J85" s="161"/>
      <c r="K85" s="161"/>
      <c r="L85" s="161"/>
      <c r="M85" s="161"/>
      <c r="N85" s="161"/>
      <c r="O85" s="161"/>
      <c r="P85" s="162">
        <f>$G$84-P72</f>
        <v>-85</v>
      </c>
      <c r="Q85" s="136"/>
      <c r="R85" s="137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</row>
    <row r="86" spans="1:38" s="1" customFormat="1" ht="15.75" thickBot="1" x14ac:dyDescent="0.35">
      <c r="A86" s="116"/>
      <c r="B86" s="639"/>
      <c r="C86" s="657" t="s">
        <v>100</v>
      </c>
      <c r="D86" s="658"/>
      <c r="E86" s="658"/>
      <c r="F86" s="659"/>
      <c r="G86" s="159">
        <f>IFERROR(G85/$G$84,)</f>
        <v>0</v>
      </c>
      <c r="H86" s="159">
        <f t="shared" ref="H86:I86" si="9">IFERROR(H85/$G$84,)</f>
        <v>0</v>
      </c>
      <c r="I86" s="159">
        <f t="shared" si="9"/>
        <v>0</v>
      </c>
      <c r="J86" s="159"/>
      <c r="K86" s="159"/>
      <c r="L86" s="159"/>
      <c r="M86" s="159"/>
      <c r="N86" s="159"/>
      <c r="O86" s="159"/>
      <c r="P86" s="160">
        <f>IFERROR(P85/$G$84,)</f>
        <v>0</v>
      </c>
      <c r="Q86" s="136"/>
      <c r="R86" s="137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</row>
    <row r="87" spans="1:38" s="2" customFormat="1" ht="15.75" thickBot="1" x14ac:dyDescent="0.35">
      <c r="A87" s="111"/>
      <c r="B87" s="140"/>
      <c r="C87" s="111"/>
      <c r="D87" s="128"/>
      <c r="E87" s="128"/>
      <c r="F87" s="111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4"/>
      <c r="R87" s="125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</row>
    <row r="88" spans="1:38" s="1" customFormat="1" ht="18" customHeight="1" x14ac:dyDescent="0.3">
      <c r="A88" s="116"/>
      <c r="B88" s="640" t="s">
        <v>9</v>
      </c>
      <c r="C88" s="651" t="s">
        <v>321</v>
      </c>
      <c r="D88" s="652"/>
      <c r="E88" s="652"/>
      <c r="F88" s="653"/>
      <c r="G88" s="205">
        <f>SUMIFS($R$8:$R$68,$B$8:$B$68,"",G$8:G$68,"µ")</f>
        <v>0</v>
      </c>
      <c r="H88" s="205">
        <f>SUMIFS($R$8:$R$68,$B$8:$B$68,"",H$8:H$68,"µ")</f>
        <v>35.979999999999997</v>
      </c>
      <c r="I88" s="205">
        <f>SUMIFS($R$8:$R$68,$B$8:$B$68,"",I$8:I$68,"µ")</f>
        <v>95.88</v>
      </c>
      <c r="J88" s="205"/>
      <c r="K88" s="205"/>
      <c r="L88" s="205"/>
      <c r="M88" s="205"/>
      <c r="N88" s="205"/>
      <c r="O88" s="205"/>
      <c r="P88" s="206">
        <f>SUMIFS($R$8:$R$68,$B$8:$B$68,"",P$8:P$68,"µ")</f>
        <v>145.78000000000003</v>
      </c>
      <c r="Q88" s="136"/>
      <c r="R88" s="137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</row>
    <row r="89" spans="1:38" s="1" customFormat="1" ht="15.75" thickBot="1" x14ac:dyDescent="0.35">
      <c r="A89" s="116"/>
      <c r="B89" s="641"/>
      <c r="C89" s="648" t="s">
        <v>319</v>
      </c>
      <c r="D89" s="649"/>
      <c r="E89" s="649"/>
      <c r="F89" s="650"/>
      <c r="G89" s="207">
        <f t="shared" ref="G89:I89" si="10">$G$84+G88</f>
        <v>0</v>
      </c>
      <c r="H89" s="207">
        <f t="shared" si="10"/>
        <v>35.979999999999997</v>
      </c>
      <c r="I89" s="207">
        <f t="shared" si="10"/>
        <v>95.88</v>
      </c>
      <c r="J89" s="207"/>
      <c r="K89" s="207"/>
      <c r="L89" s="207"/>
      <c r="M89" s="207"/>
      <c r="N89" s="207"/>
      <c r="O89" s="207"/>
      <c r="P89" s="208">
        <f>$G$84+P88</f>
        <v>145.78000000000003</v>
      </c>
      <c r="Q89" s="136"/>
      <c r="R89" s="137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</row>
    <row r="90" spans="1:38" s="1" customFormat="1" x14ac:dyDescent="0.3">
      <c r="A90" s="116"/>
      <c r="B90" s="640" t="s">
        <v>101</v>
      </c>
      <c r="C90" s="651" t="s">
        <v>320</v>
      </c>
      <c r="D90" s="652"/>
      <c r="E90" s="652"/>
      <c r="F90" s="653"/>
      <c r="G90" s="209">
        <f t="shared" ref="G90:P90" si="11">G89-G72</f>
        <v>0</v>
      </c>
      <c r="H90" s="209">
        <f t="shared" si="11"/>
        <v>10.979999999999997</v>
      </c>
      <c r="I90" s="209">
        <f t="shared" si="11"/>
        <v>45.879999999999995</v>
      </c>
      <c r="J90" s="209"/>
      <c r="K90" s="209"/>
      <c r="L90" s="209"/>
      <c r="M90" s="209"/>
      <c r="N90" s="209"/>
      <c r="O90" s="209"/>
      <c r="P90" s="210">
        <f t="shared" si="11"/>
        <v>60.78000000000003</v>
      </c>
      <c r="Q90" s="136"/>
      <c r="R90" s="137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</row>
    <row r="91" spans="1:38" s="1" customFormat="1" ht="15.75" thickBot="1" x14ac:dyDescent="0.35">
      <c r="A91" s="116"/>
      <c r="B91" s="641"/>
      <c r="C91" s="648" t="s">
        <v>100</v>
      </c>
      <c r="D91" s="649"/>
      <c r="E91" s="649"/>
      <c r="F91" s="650"/>
      <c r="G91" s="211">
        <f>IFERROR(G90/G89,)</f>
        <v>0</v>
      </c>
      <c r="H91" s="211">
        <f t="shared" ref="H91:I91" si="12">IFERROR(H90/H89,)</f>
        <v>0.30516953863257357</v>
      </c>
      <c r="I91" s="211">
        <f t="shared" si="12"/>
        <v>0.4785148101793909</v>
      </c>
      <c r="J91" s="211"/>
      <c r="K91" s="211"/>
      <c r="L91" s="211"/>
      <c r="M91" s="211"/>
      <c r="N91" s="211"/>
      <c r="O91" s="211"/>
      <c r="P91" s="212">
        <f t="shared" ref="P91" si="13">IFERROR(P90/P89,)</f>
        <v>0.41692961997530537</v>
      </c>
      <c r="Q91" s="136"/>
      <c r="R91" s="137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</row>
    <row r="92" spans="1:38" s="2" customFormat="1" ht="13.5" x14ac:dyDescent="0.25">
      <c r="A92" s="111"/>
      <c r="B92" s="140"/>
      <c r="C92" s="111"/>
      <c r="D92" s="128"/>
      <c r="E92" s="128"/>
      <c r="F92" s="111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5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</row>
    <row r="93" spans="1:38" s="2" customFormat="1" collapsed="1" x14ac:dyDescent="0.3">
      <c r="A93" s="117"/>
      <c r="B93" s="111"/>
      <c r="C93" s="111"/>
      <c r="D93" s="128"/>
      <c r="E93" s="128"/>
      <c r="F93" s="111"/>
      <c r="G93" s="128"/>
      <c r="H93" s="128"/>
      <c r="I93" s="128"/>
      <c r="J93" s="128"/>
      <c r="K93" s="128"/>
      <c r="M93" s="141"/>
      <c r="N93" s="138"/>
      <c r="O93" s="126"/>
      <c r="P93" s="128"/>
      <c r="Q93" s="128"/>
      <c r="R93" s="139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</row>
    <row r="94" spans="1:38" s="2" customFormat="1" ht="19.5" hidden="1" customHeight="1" outlineLevel="1" thickBot="1" x14ac:dyDescent="0.35">
      <c r="A94" s="111"/>
      <c r="B94" s="143" t="s">
        <v>10</v>
      </c>
      <c r="C94" s="111"/>
      <c r="D94" s="128"/>
      <c r="E94" s="128"/>
      <c r="F94" s="111"/>
      <c r="G94" s="128"/>
      <c r="H94" s="128"/>
      <c r="I94" s="128"/>
      <c r="J94" s="128"/>
      <c r="K94" s="128"/>
      <c r="L94" s="128"/>
      <c r="M94" s="128"/>
      <c r="N94" s="141"/>
      <c r="O94" s="128"/>
      <c r="P94" s="128"/>
      <c r="Q94" s="124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</row>
    <row r="95" spans="1:38" s="2" customFormat="1" ht="19.5" hidden="1" customHeight="1" outlineLevel="1" thickBot="1" x14ac:dyDescent="0.35">
      <c r="A95" s="111"/>
      <c r="B95" s="143"/>
      <c r="C95" s="111"/>
      <c r="D95" s="128"/>
      <c r="E95" s="128"/>
      <c r="F95" s="111"/>
      <c r="G95" s="128"/>
      <c r="H95" s="128"/>
      <c r="I95" s="128"/>
      <c r="J95" s="128"/>
      <c r="K95" s="128"/>
      <c r="L95" s="128"/>
      <c r="M95" s="128"/>
      <c r="N95" s="141"/>
      <c r="O95" s="128"/>
      <c r="P95" s="128"/>
      <c r="Q95" s="124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</row>
    <row r="96" spans="1:38" s="2" customFormat="1" collapsed="1" x14ac:dyDescent="0.3">
      <c r="A96" s="111"/>
      <c r="B96" s="117"/>
      <c r="C96" s="111"/>
      <c r="D96" s="128"/>
      <c r="E96" s="128"/>
      <c r="F96" s="111"/>
      <c r="G96" s="128"/>
      <c r="H96" s="128"/>
      <c r="I96" s="128"/>
      <c r="J96" s="128"/>
      <c r="K96" s="128"/>
      <c r="L96" s="128"/>
      <c r="M96" s="128"/>
      <c r="N96" s="141"/>
      <c r="O96" s="128"/>
      <c r="P96" s="128"/>
      <c r="Q96" s="124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</row>
    <row r="97" spans="1:38" s="2" customFormat="1" x14ac:dyDescent="0.3">
      <c r="A97" s="111"/>
      <c r="B97" s="117"/>
      <c r="C97" s="111"/>
      <c r="D97" s="128"/>
      <c r="E97" s="128"/>
      <c r="F97" s="111"/>
      <c r="G97" s="128"/>
      <c r="H97" s="128"/>
      <c r="I97" s="128"/>
      <c r="J97" s="128"/>
      <c r="K97" s="128"/>
      <c r="L97" s="128"/>
      <c r="M97" s="128"/>
      <c r="N97" s="141"/>
      <c r="O97" s="128"/>
      <c r="P97" s="128"/>
      <c r="Q97" s="124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</row>
    <row r="98" spans="1:38" s="2" customFormat="1" x14ac:dyDescent="0.3">
      <c r="A98" s="111"/>
      <c r="B98" s="117"/>
      <c r="C98" s="111"/>
      <c r="D98" s="128"/>
      <c r="E98" s="128"/>
      <c r="F98" s="111"/>
      <c r="G98" s="128"/>
      <c r="H98" s="128"/>
      <c r="I98" s="128"/>
      <c r="J98" s="128"/>
      <c r="K98" s="128"/>
      <c r="L98" s="128"/>
      <c r="M98" s="128"/>
      <c r="N98" s="141"/>
      <c r="O98" s="128"/>
      <c r="P98" s="128"/>
      <c r="Q98" s="124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</row>
    <row r="99" spans="1:38" s="2" customFormat="1" x14ac:dyDescent="0.3">
      <c r="A99" s="111"/>
      <c r="B99" s="117"/>
      <c r="C99" s="111"/>
      <c r="D99" s="128"/>
      <c r="E99" s="128"/>
      <c r="F99" s="111"/>
      <c r="G99" s="128"/>
      <c r="H99" s="128"/>
      <c r="I99" s="128"/>
      <c r="J99" s="128"/>
      <c r="K99" s="128"/>
      <c r="L99" s="128"/>
      <c r="M99" s="128"/>
      <c r="N99" s="141"/>
      <c r="O99" s="128"/>
      <c r="P99" s="128"/>
      <c r="Q99" s="124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</row>
    <row r="100" spans="1:38" s="2" customFormat="1" x14ac:dyDescent="0.3">
      <c r="A100" s="111"/>
      <c r="B100" s="117"/>
      <c r="C100" s="111"/>
      <c r="D100" s="128"/>
      <c r="E100" s="128"/>
      <c r="F100" s="111"/>
      <c r="G100" s="128"/>
      <c r="H100" s="128"/>
      <c r="I100" s="128"/>
      <c r="J100" s="128"/>
      <c r="K100" s="128"/>
      <c r="L100" s="128"/>
      <c r="M100" s="128"/>
      <c r="N100" s="141"/>
      <c r="O100" s="128"/>
      <c r="P100" s="128"/>
      <c r="Q100" s="124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</row>
    <row r="101" spans="1:38" s="2" customFormat="1" x14ac:dyDescent="0.3">
      <c r="A101" s="111"/>
      <c r="B101" s="117"/>
      <c r="C101" s="111"/>
      <c r="D101" s="128"/>
      <c r="E101" s="128"/>
      <c r="F101" s="111"/>
      <c r="G101" s="128"/>
      <c r="H101" s="128"/>
      <c r="I101" s="128"/>
      <c r="J101" s="128"/>
      <c r="K101" s="128"/>
      <c r="L101" s="128"/>
      <c r="M101" s="128"/>
      <c r="N101" s="141"/>
      <c r="O101" s="128"/>
      <c r="P101" s="128"/>
      <c r="Q101" s="124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</row>
    <row r="102" spans="1:38" s="2" customFormat="1" x14ac:dyDescent="0.3">
      <c r="A102" s="111"/>
      <c r="B102" s="117"/>
      <c r="C102" s="111"/>
      <c r="D102" s="128"/>
      <c r="E102" s="128"/>
      <c r="F102" s="111"/>
      <c r="G102" s="128"/>
      <c r="H102" s="128"/>
      <c r="I102" s="128"/>
      <c r="J102" s="128"/>
      <c r="K102" s="128"/>
      <c r="L102" s="128"/>
      <c r="M102" s="128"/>
      <c r="N102" s="141"/>
      <c r="O102" s="128"/>
      <c r="P102" s="128"/>
      <c r="Q102" s="124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</row>
    <row r="103" spans="1:38" s="2" customFormat="1" x14ac:dyDescent="0.3">
      <c r="A103" s="111"/>
      <c r="B103" s="117"/>
      <c r="C103" s="111"/>
      <c r="D103" s="128"/>
      <c r="E103" s="128"/>
      <c r="F103" s="111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4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</row>
    <row r="104" spans="1:38" s="2" customFormat="1" x14ac:dyDescent="0.3">
      <c r="A104" s="111"/>
      <c r="B104" s="117"/>
      <c r="C104" s="111"/>
      <c r="D104" s="128"/>
      <c r="E104" s="128"/>
      <c r="F104" s="111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4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</row>
    <row r="105" spans="1:38" s="2" customFormat="1" x14ac:dyDescent="0.3">
      <c r="A105" s="111"/>
      <c r="B105" s="117"/>
      <c r="C105" s="111"/>
      <c r="D105" s="128"/>
      <c r="E105" s="128"/>
      <c r="F105" s="111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4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</row>
    <row r="106" spans="1:38" s="2" customFormat="1" x14ac:dyDescent="0.3">
      <c r="A106" s="111"/>
      <c r="B106" s="117"/>
      <c r="C106" s="111"/>
      <c r="D106" s="128"/>
      <c r="E106" s="128"/>
      <c r="F106" s="111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4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</row>
    <row r="107" spans="1:38" s="2" customFormat="1" x14ac:dyDescent="0.3">
      <c r="A107" s="111"/>
      <c r="B107" s="117"/>
      <c r="C107" s="111"/>
      <c r="D107" s="128"/>
      <c r="E107" s="128"/>
      <c r="F107" s="111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4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</row>
    <row r="108" spans="1:38" s="2" customFormat="1" x14ac:dyDescent="0.3">
      <c r="A108" s="111"/>
      <c r="B108" s="117"/>
      <c r="C108" s="111"/>
      <c r="D108" s="128"/>
      <c r="E108" s="128"/>
      <c r="F108" s="111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4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</row>
    <row r="109" spans="1:38" s="2" customFormat="1" x14ac:dyDescent="0.3">
      <c r="A109" s="111"/>
      <c r="B109" s="117"/>
      <c r="C109" s="111"/>
      <c r="D109" s="128"/>
      <c r="E109" s="128"/>
      <c r="F109" s="111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4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</row>
    <row r="110" spans="1:38" s="2" customFormat="1" x14ac:dyDescent="0.3">
      <c r="A110" s="111"/>
      <c r="B110" s="117"/>
      <c r="C110" s="111"/>
      <c r="D110" s="128"/>
      <c r="E110" s="128"/>
      <c r="F110" s="111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4"/>
      <c r="R110" s="125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</row>
    <row r="111" spans="1:38" s="2" customFormat="1" x14ac:dyDescent="0.3">
      <c r="A111" s="111"/>
      <c r="B111" s="117"/>
      <c r="C111" s="111"/>
      <c r="D111" s="128"/>
      <c r="E111" s="128"/>
      <c r="F111" s="111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4"/>
      <c r="R111" s="125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</row>
    <row r="112" spans="1:38" s="2" customFormat="1" x14ac:dyDescent="0.3">
      <c r="A112" s="111"/>
      <c r="B112" s="117"/>
      <c r="C112" s="111"/>
      <c r="D112" s="128"/>
      <c r="E112" s="128"/>
      <c r="F112" s="111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4"/>
      <c r="R112" s="125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</row>
    <row r="113" spans="1:38" s="2" customFormat="1" x14ac:dyDescent="0.3">
      <c r="A113" s="111"/>
      <c r="B113" s="117"/>
      <c r="C113" s="111"/>
      <c r="D113" s="128"/>
      <c r="E113" s="128"/>
      <c r="F113" s="111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4"/>
      <c r="R113" s="125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</row>
    <row r="114" spans="1:38" s="2" customFormat="1" x14ac:dyDescent="0.3">
      <c r="A114" s="111"/>
      <c r="B114" s="117"/>
      <c r="C114" s="111"/>
      <c r="D114" s="128"/>
      <c r="E114" s="128"/>
      <c r="F114" s="111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4"/>
      <c r="R114" s="125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</row>
    <row r="115" spans="1:38" s="2" customFormat="1" x14ac:dyDescent="0.3">
      <c r="A115" s="111"/>
      <c r="B115" s="117"/>
      <c r="C115" s="111"/>
      <c r="D115" s="128"/>
      <c r="E115" s="128"/>
      <c r="F115" s="111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4"/>
      <c r="R115" s="125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</row>
    <row r="116" spans="1:38" s="2" customFormat="1" x14ac:dyDescent="0.3">
      <c r="A116" s="111"/>
      <c r="B116" s="117"/>
      <c r="C116" s="111"/>
      <c r="D116" s="128"/>
      <c r="E116" s="128"/>
      <c r="F116" s="111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4"/>
      <c r="R116" s="125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</row>
    <row r="117" spans="1:38" s="2" customFormat="1" x14ac:dyDescent="0.3">
      <c r="A117" s="111"/>
      <c r="B117" s="117"/>
      <c r="C117" s="111"/>
      <c r="D117" s="128"/>
      <c r="E117" s="128"/>
      <c r="F117" s="111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4"/>
      <c r="R117" s="125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</row>
    <row r="118" spans="1:38" s="2" customFormat="1" x14ac:dyDescent="0.3">
      <c r="A118" s="111"/>
      <c r="B118" s="117"/>
      <c r="C118" s="111"/>
      <c r="D118" s="128"/>
      <c r="E118" s="128"/>
      <c r="F118" s="111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4"/>
      <c r="R118" s="125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</row>
    <row r="119" spans="1:38" s="2" customFormat="1" x14ac:dyDescent="0.3">
      <c r="A119" s="111"/>
      <c r="B119" s="117"/>
      <c r="C119" s="111"/>
      <c r="D119" s="128"/>
      <c r="E119" s="128"/>
      <c r="F119" s="111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4"/>
      <c r="R119" s="125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</row>
    <row r="120" spans="1:38" s="2" customFormat="1" x14ac:dyDescent="0.3">
      <c r="A120" s="111"/>
      <c r="B120" s="117"/>
      <c r="C120" s="111"/>
      <c r="D120" s="128"/>
      <c r="E120" s="128"/>
      <c r="F120" s="111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4"/>
      <c r="R120" s="125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</row>
    <row r="121" spans="1:38" s="2" customFormat="1" x14ac:dyDescent="0.3">
      <c r="A121" s="111"/>
      <c r="B121" s="117"/>
      <c r="C121" s="111"/>
      <c r="D121" s="128"/>
      <c r="E121" s="128"/>
      <c r="F121" s="111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4"/>
      <c r="R121" s="125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</row>
    <row r="122" spans="1:38" s="2" customFormat="1" x14ac:dyDescent="0.3">
      <c r="A122" s="111"/>
      <c r="B122" s="117"/>
      <c r="C122" s="111"/>
      <c r="D122" s="128"/>
      <c r="E122" s="128"/>
      <c r="F122" s="111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4"/>
      <c r="R122" s="125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</row>
    <row r="123" spans="1:38" s="2" customFormat="1" x14ac:dyDescent="0.3">
      <c r="A123" s="111"/>
      <c r="B123" s="117"/>
      <c r="C123" s="111"/>
      <c r="D123" s="128"/>
      <c r="E123" s="128"/>
      <c r="F123" s="111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4"/>
      <c r="R123" s="125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</row>
    <row r="124" spans="1:38" s="2" customFormat="1" x14ac:dyDescent="0.3">
      <c r="A124" s="111"/>
      <c r="B124" s="117"/>
      <c r="C124" s="111"/>
      <c r="D124" s="128"/>
      <c r="E124" s="128"/>
      <c r="F124" s="111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4"/>
      <c r="R124" s="125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</row>
    <row r="125" spans="1:38" s="2" customFormat="1" x14ac:dyDescent="0.3">
      <c r="A125" s="111"/>
      <c r="B125" s="117"/>
      <c r="C125" s="111"/>
      <c r="D125" s="128"/>
      <c r="E125" s="128"/>
      <c r="F125" s="111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4"/>
      <c r="R125" s="125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</row>
    <row r="126" spans="1:38" s="2" customFormat="1" x14ac:dyDescent="0.3">
      <c r="A126" s="111"/>
      <c r="B126" s="117"/>
      <c r="C126" s="111"/>
      <c r="D126" s="128"/>
      <c r="E126" s="128"/>
      <c r="F126" s="111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4"/>
      <c r="R126" s="125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</row>
    <row r="127" spans="1:38" s="2" customFormat="1" x14ac:dyDescent="0.3">
      <c r="A127" s="111"/>
      <c r="B127" s="117"/>
      <c r="C127" s="111"/>
      <c r="D127" s="128"/>
      <c r="E127" s="128"/>
      <c r="F127" s="111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4"/>
      <c r="R127" s="125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</row>
    <row r="128" spans="1:38" s="2" customFormat="1" x14ac:dyDescent="0.3">
      <c r="A128" s="111"/>
      <c r="B128" s="117"/>
      <c r="C128" s="111"/>
      <c r="D128" s="128"/>
      <c r="E128" s="128"/>
      <c r="F128" s="111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4"/>
      <c r="R128" s="125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</row>
    <row r="129" spans="2:19" x14ac:dyDescent="0.3">
      <c r="B129" s="117"/>
      <c r="C129" s="111"/>
      <c r="D129" s="128"/>
      <c r="E129" s="128"/>
      <c r="F129" s="111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4"/>
      <c r="R129" s="125"/>
      <c r="S129" s="111"/>
    </row>
  </sheetData>
  <sheetProtection algorithmName="SHA-512" hashValue="MohiiijvNZIxAZkgYID9FnswEaOnUBlSUT9SiM7o01Fa0/+pa6vjtKQZB4FCs9U5l4yemOrlOHZDstKUQlVINA==" saltValue="WnVceJ/atmqj1nt2RaSa9Q==" spinCount="100000" sheet="1" objects="1" scenarios="1"/>
  <protectedRanges>
    <protectedRange sqref="B8 B13:B15 B60 B65 B20:B56 B68" name="Auswahlfelder"/>
  </protectedRanges>
  <mergeCells count="22">
    <mergeCell ref="B1:S1"/>
    <mergeCell ref="B3:C3"/>
    <mergeCell ref="B4:B5"/>
    <mergeCell ref="Q3:S5"/>
    <mergeCell ref="D3:F4"/>
    <mergeCell ref="C73:E82"/>
    <mergeCell ref="G3:G4"/>
    <mergeCell ref="C72:F72"/>
    <mergeCell ref="C70:F70"/>
    <mergeCell ref="C69:F69"/>
    <mergeCell ref="C57:F57"/>
    <mergeCell ref="B84:B86"/>
    <mergeCell ref="B88:B89"/>
    <mergeCell ref="B90:B91"/>
    <mergeCell ref="G84:P84"/>
    <mergeCell ref="C84:F84"/>
    <mergeCell ref="C89:F89"/>
    <mergeCell ref="C90:F90"/>
    <mergeCell ref="C91:F91"/>
    <mergeCell ref="C85:F85"/>
    <mergeCell ref="C86:F86"/>
    <mergeCell ref="C88:F88"/>
  </mergeCells>
  <phoneticPr fontId="5" type="noConversion"/>
  <conditionalFormatting sqref="G8:P68">
    <cfRule type="expression" dxfId="4" priority="81">
      <formula>OR(AND($B8="x",G8="µ"),AND($B8="x",G8="enthalten"))</formula>
    </cfRule>
    <cfRule type="expression" dxfId="3" priority="189">
      <formula>OR(AND($B8="x",G8="Zusatzprodukt"),AND($B8="x",G8="Kauf nach CF"))</formula>
    </cfRule>
    <cfRule type="expression" dxfId="2" priority="190">
      <formula>AND($B8="x",G8="enthalten")</formula>
    </cfRule>
  </conditionalFormatting>
  <conditionalFormatting sqref="G72:P72">
    <cfRule type="top10" dxfId="1" priority="191" bottom="1" rank="1"/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3:P82">
    <cfRule type="cellIs" dxfId="0" priority="571" operator="lessThan">
      <formula>0</formula>
    </cfRule>
  </conditionalFormatting>
  <conditionalFormatting sqref="G85:P85">
    <cfRule type="colorScale" priority="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6:P86">
    <cfRule type="colorScale" priority="9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0:P90">
    <cfRule type="colorScale" priority="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1:P91">
    <cfRule type="colorScale" priority="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60 B8 B65 B13:B15 B20:B56 B68" xr:uid="{D30EEA0A-86A0-48D5-A10D-3ABC9F2C4A3A}">
      <formula1>$B$94:$B$95</formula1>
    </dataValidation>
  </dataValidations>
  <pageMargins left="0.15748031496062992" right="3.937007874015748E-2" top="0.18" bottom="0.11811023622047245" header="0.1" footer="7.874015748031496E-2"/>
  <pageSetup paperSize="9" scale="54" fitToHeight="0" orientation="landscape" r:id="rId1"/>
  <rowBreaks count="1" manualBreakCount="1">
    <brk id="58" max="18" man="1"/>
  </rowBreaks>
  <ignoredErrors>
    <ignoredError sqref="G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66489-48CB-4CB3-A14C-D94BAC65D341}">
  <sheetPr codeName="Tabelle3">
    <tabColor rgb="FFFF0000"/>
  </sheetPr>
  <dimension ref="A1:DP211"/>
  <sheetViews>
    <sheetView showGridLines="0" workbookViewId="0">
      <pane xSplit="1" ySplit="3" topLeftCell="W175" activePane="bottomRight" state="frozen"/>
      <selection pane="topRight" activeCell="C1" sqref="C1"/>
      <selection pane="bottomLeft" activeCell="A3" sqref="A3"/>
      <selection pane="bottomRight" activeCell="AM200" sqref="AM200"/>
    </sheetView>
  </sheetViews>
  <sheetFormatPr baseColWidth="10" defaultRowHeight="15" outlineLevelRow="1" outlineLevelCol="1" x14ac:dyDescent="0.25"/>
  <cols>
    <col min="1" max="1" width="16.85546875" style="14" bestFit="1" customWidth="1"/>
    <col min="2" max="3" width="11.5703125" style="3" customWidth="1"/>
    <col min="4" max="4" width="11.5703125" style="22" customWidth="1"/>
    <col min="5" max="6" width="11.5703125" style="14" hidden="1" customWidth="1" outlineLevel="1"/>
    <col min="7" max="7" width="12.140625" style="14" hidden="1" customWidth="1" outlineLevel="1"/>
    <col min="8" max="8" width="11.5703125" style="14" hidden="1" customWidth="1" outlineLevel="1"/>
    <col min="9" max="9" width="12.140625" style="14" bestFit="1" customWidth="1" collapsed="1"/>
    <col min="10" max="10" width="11.5703125" style="14" bestFit="1" customWidth="1"/>
    <col min="11" max="11" width="11.5703125" style="22" customWidth="1"/>
    <col min="12" max="12" width="12.140625" style="14" bestFit="1" customWidth="1"/>
    <col min="13" max="13" width="11.5703125" style="14" bestFit="1" customWidth="1"/>
    <col min="14" max="14" width="11.5703125" style="14" customWidth="1"/>
    <col min="15" max="16" width="11.5703125" style="14" bestFit="1" customWidth="1"/>
    <col min="17" max="17" width="11.5703125" style="14" customWidth="1"/>
    <col min="18" max="18" width="12.140625" style="14" bestFit="1" customWidth="1"/>
    <col min="19" max="19" width="11.5703125" style="14" bestFit="1" customWidth="1"/>
    <col min="20" max="20" width="11.5703125" style="14" customWidth="1"/>
    <col min="21" max="21" width="12.140625" style="14" bestFit="1" customWidth="1"/>
    <col min="22" max="22" width="11.5703125" style="14" bestFit="1" customWidth="1"/>
    <col min="23" max="23" width="11.5703125" style="14" customWidth="1"/>
    <col min="24" max="24" width="12.140625" style="14" bestFit="1" customWidth="1"/>
    <col min="25" max="25" width="11.5703125" style="14" bestFit="1" customWidth="1"/>
    <col min="26" max="26" width="11.5703125" style="14" customWidth="1"/>
    <col min="27" max="27" width="12.140625" style="14" bestFit="1" customWidth="1"/>
    <col min="28" max="28" width="11.5703125" style="14" bestFit="1" customWidth="1"/>
    <col min="29" max="29" width="11.5703125" style="14" customWidth="1"/>
    <col min="30" max="30" width="12.140625" style="14" bestFit="1" customWidth="1"/>
    <col min="31" max="31" width="11.5703125" style="14" bestFit="1" customWidth="1"/>
    <col min="32" max="32" width="11.5703125" style="14" customWidth="1"/>
    <col min="33" max="34" width="11.5703125" style="14" bestFit="1" customWidth="1"/>
    <col min="35" max="35" width="11.5703125" style="14" customWidth="1"/>
    <col min="36" max="36" width="12.140625" style="14" bestFit="1" customWidth="1"/>
    <col min="37" max="37" width="11.5703125" style="14" bestFit="1" customWidth="1"/>
    <col min="38" max="38" width="11.5703125" style="14" customWidth="1"/>
    <col min="39" max="41" width="11.42578125" style="14"/>
    <col min="51" max="51" width="11.42578125" style="215"/>
    <col min="52" max="52" width="6.42578125" style="215" bestFit="1" customWidth="1"/>
    <col min="53" max="64" width="8.7109375" style="215" customWidth="1"/>
    <col min="65" max="65" width="6.140625" style="215" customWidth="1"/>
    <col min="66" max="66" width="5.28515625" bestFit="1" customWidth="1"/>
    <col min="67" max="67" width="4.5703125" bestFit="1" customWidth="1"/>
    <col min="68" max="68" width="5.28515625" bestFit="1" customWidth="1"/>
    <col min="69" max="72" width="5.28515625" customWidth="1"/>
    <col min="73" max="73" width="11.42578125" style="4"/>
    <col min="74" max="74" width="11.42578125" style="5"/>
    <col min="75" max="75" width="11.42578125" style="4"/>
    <col min="76" max="76" width="11.42578125" style="5"/>
    <col min="77" max="77" width="11.42578125" style="12"/>
    <col min="78" max="78" width="11.42578125" style="15"/>
    <col min="79" max="79" width="11.42578125" style="4"/>
    <col min="80" max="80" width="11.42578125" style="5"/>
    <col min="81" max="81" width="11.42578125" style="4"/>
    <col min="82" max="82" width="11.42578125" style="5"/>
    <col min="83" max="83" width="11.42578125" style="4"/>
    <col min="84" max="84" width="11.42578125" style="5"/>
    <col min="85" max="85" width="11.42578125" style="4"/>
    <col min="86" max="86" width="11.42578125" style="5"/>
    <col min="87" max="87" width="11.42578125" style="4"/>
    <col min="88" max="88" width="11.42578125" style="5"/>
    <col min="89" max="89" width="11.42578125" style="4"/>
    <col min="90" max="90" width="11.42578125" style="5"/>
    <col min="91" max="91" width="11.42578125" style="4"/>
    <col min="92" max="92" width="11.42578125" style="5"/>
    <col min="93" max="93" width="11.42578125" style="4"/>
    <col min="94" max="94" width="11.42578125" style="5"/>
    <col min="95" max="95" width="11.42578125" style="4"/>
    <col min="96" max="96" width="11.42578125" style="5"/>
    <col min="97" max="97" width="2.85546875" customWidth="1"/>
    <col min="98" max="98" width="6.85546875" customWidth="1"/>
    <col min="99" max="99" width="2.85546875" customWidth="1"/>
    <col min="100" max="100" width="6.85546875" customWidth="1"/>
    <col min="101" max="101" width="2.85546875" customWidth="1"/>
    <col min="102" max="102" width="6.85546875" customWidth="1"/>
    <col min="103" max="103" width="2.85546875" customWidth="1"/>
    <col min="104" max="104" width="6.85546875" customWidth="1"/>
    <col min="105" max="105" width="2.85546875" customWidth="1"/>
    <col min="106" max="106" width="6.85546875" customWidth="1"/>
    <col min="107" max="107" width="2.85546875" customWidth="1"/>
    <col min="108" max="108" width="6.85546875" customWidth="1"/>
    <col min="109" max="109" width="2.85546875" customWidth="1"/>
    <col min="110" max="110" width="6.85546875" customWidth="1"/>
    <col min="111" max="111" width="2.85546875" customWidth="1"/>
    <col min="112" max="112" width="6.85546875" customWidth="1"/>
    <col min="113" max="113" width="2.85546875" customWidth="1"/>
    <col min="114" max="114" width="6.85546875" customWidth="1"/>
    <col min="115" max="115" width="2.85546875" customWidth="1"/>
    <col min="116" max="116" width="6.85546875" customWidth="1"/>
    <col min="117" max="117" width="2.85546875" customWidth="1"/>
    <col min="118" max="118" width="6.85546875" customWidth="1"/>
    <col min="119" max="119" width="2.85546875" customWidth="1"/>
    <col min="120" max="120" width="6.85546875" customWidth="1"/>
  </cols>
  <sheetData>
    <row r="1" spans="1:120" ht="15.75" thickBot="1" x14ac:dyDescent="0.3">
      <c r="A1" s="528" t="s">
        <v>406</v>
      </c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BO1" s="378"/>
      <c r="BP1" s="378"/>
      <c r="BQ1" s="378"/>
      <c r="BR1" s="378"/>
      <c r="BS1" s="378"/>
      <c r="BT1" s="378"/>
      <c r="BU1" s="391"/>
      <c r="BV1" s="392"/>
      <c r="BW1" s="391"/>
      <c r="BX1" s="392"/>
      <c r="BY1" s="393"/>
      <c r="BZ1" s="394"/>
      <c r="CA1" s="391"/>
      <c r="CB1" s="392"/>
      <c r="CC1" s="391"/>
      <c r="CD1" s="392"/>
      <c r="CE1" s="687" t="s">
        <v>157</v>
      </c>
      <c r="CF1" s="687"/>
      <c r="CG1" s="391"/>
      <c r="CH1" s="392"/>
      <c r="CI1" s="391"/>
      <c r="CJ1" s="392"/>
      <c r="CK1" s="391"/>
      <c r="CL1" s="392"/>
      <c r="CM1" s="391"/>
      <c r="CN1" s="392"/>
      <c r="CO1" s="391"/>
      <c r="CP1" s="392"/>
      <c r="CQ1" s="687" t="s">
        <v>158</v>
      </c>
      <c r="CR1" s="687"/>
      <c r="CS1" s="687" t="s">
        <v>232</v>
      </c>
      <c r="CT1" s="687"/>
      <c r="CU1" s="378"/>
      <c r="CV1" s="378"/>
      <c r="CW1" s="378"/>
      <c r="CX1" s="378"/>
      <c r="CY1" s="378"/>
      <c r="CZ1" s="378"/>
      <c r="DA1" s="687" t="s">
        <v>233</v>
      </c>
      <c r="DB1" s="687"/>
      <c r="DC1" s="687" t="s">
        <v>157</v>
      </c>
      <c r="DD1" s="687"/>
      <c r="DE1" s="391"/>
      <c r="DF1" s="392"/>
      <c r="DG1" s="391"/>
      <c r="DH1" s="392"/>
      <c r="DI1" s="391"/>
      <c r="DJ1" s="392"/>
      <c r="DK1" s="391"/>
      <c r="DL1" s="392"/>
      <c r="DM1" s="391"/>
      <c r="DN1" s="392"/>
      <c r="DO1" s="687" t="s">
        <v>158</v>
      </c>
      <c r="DP1" s="687"/>
    </row>
    <row r="2" spans="1:120" ht="15.75" outlineLevel="1" thickBot="1" x14ac:dyDescent="0.3">
      <c r="B2" s="718" t="s">
        <v>400</v>
      </c>
      <c r="C2" s="719"/>
      <c r="D2" s="719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BA2" s="400" t="s">
        <v>231</v>
      </c>
      <c r="BO2" s="378"/>
      <c r="BP2" s="378"/>
      <c r="BQ2" s="378"/>
      <c r="BR2" s="378"/>
      <c r="BS2" s="378"/>
      <c r="BT2" s="378"/>
      <c r="BU2" s="695" t="s">
        <v>218</v>
      </c>
      <c r="BV2" s="696" t="s">
        <v>139</v>
      </c>
      <c r="BW2" s="697" t="s">
        <v>219</v>
      </c>
      <c r="BX2" s="697" t="s">
        <v>55</v>
      </c>
      <c r="BY2" s="698" t="s">
        <v>220</v>
      </c>
      <c r="BZ2" s="698" t="s">
        <v>143</v>
      </c>
      <c r="CA2" s="699" t="s">
        <v>221</v>
      </c>
      <c r="CB2" s="692" t="s">
        <v>141</v>
      </c>
      <c r="CC2" s="695" t="s">
        <v>222</v>
      </c>
      <c r="CD2" s="700" t="s">
        <v>86</v>
      </c>
      <c r="CE2" s="693" t="s">
        <v>223</v>
      </c>
      <c r="CF2" s="694" t="s">
        <v>97</v>
      </c>
      <c r="CG2" s="689" t="s">
        <v>224</v>
      </c>
      <c r="CH2" s="690" t="s">
        <v>112</v>
      </c>
      <c r="CI2" s="689" t="s">
        <v>225</v>
      </c>
      <c r="CJ2" s="690" t="s">
        <v>145</v>
      </c>
      <c r="CK2" s="691" t="s">
        <v>226</v>
      </c>
      <c r="CL2" s="692" t="s">
        <v>147</v>
      </c>
      <c r="CM2" s="693" t="s">
        <v>227</v>
      </c>
      <c r="CN2" s="694" t="s">
        <v>156</v>
      </c>
      <c r="CO2" s="691" t="s">
        <v>228</v>
      </c>
      <c r="CP2" s="692" t="s">
        <v>172</v>
      </c>
      <c r="CQ2" s="689" t="s">
        <v>229</v>
      </c>
      <c r="CR2" s="690" t="s">
        <v>202</v>
      </c>
      <c r="CS2" s="378"/>
      <c r="CT2" s="378"/>
      <c r="CU2" s="378"/>
      <c r="CV2" s="378"/>
      <c r="CW2" s="378"/>
      <c r="CX2" s="378"/>
      <c r="CY2" s="378"/>
      <c r="CZ2" s="378"/>
      <c r="DA2" s="378"/>
      <c r="DB2" s="378"/>
      <c r="DC2" s="378"/>
      <c r="DD2" s="378"/>
      <c r="DE2" s="378"/>
      <c r="DF2" s="378"/>
      <c r="DG2" s="378"/>
      <c r="DH2" s="378"/>
      <c r="DI2" s="378"/>
      <c r="DJ2" s="378"/>
      <c r="DK2" s="378"/>
      <c r="DL2" s="378"/>
      <c r="DM2" s="378"/>
      <c r="DN2" s="378"/>
      <c r="DO2" s="378"/>
      <c r="DP2" s="378"/>
    </row>
    <row r="3" spans="1:120" outlineLevel="1" x14ac:dyDescent="0.25">
      <c r="A3" s="14" t="s">
        <v>31</v>
      </c>
      <c r="B3" s="220" t="s">
        <v>401</v>
      </c>
      <c r="C3" s="221" t="s">
        <v>402</v>
      </c>
      <c r="D3" s="541" t="s">
        <v>403</v>
      </c>
      <c r="E3" s="224" t="s">
        <v>52</v>
      </c>
      <c r="F3" s="225" t="s">
        <v>53</v>
      </c>
      <c r="G3" s="222" t="s">
        <v>48</v>
      </c>
      <c r="H3" s="223" t="s">
        <v>49</v>
      </c>
      <c r="I3" s="224" t="s">
        <v>50</v>
      </c>
      <c r="J3" s="225" t="s">
        <v>51</v>
      </c>
      <c r="K3" s="225" t="s">
        <v>404</v>
      </c>
      <c r="L3" s="226" t="s">
        <v>136</v>
      </c>
      <c r="M3" s="227" t="s">
        <v>137</v>
      </c>
      <c r="N3" s="227" t="s">
        <v>405</v>
      </c>
      <c r="O3" s="220" t="s">
        <v>72</v>
      </c>
      <c r="P3" s="221" t="s">
        <v>73</v>
      </c>
      <c r="Q3" s="221" t="s">
        <v>391</v>
      </c>
      <c r="R3" s="222" t="s">
        <v>87</v>
      </c>
      <c r="S3" s="223" t="s">
        <v>88</v>
      </c>
      <c r="T3" s="223" t="s">
        <v>392</v>
      </c>
      <c r="U3" s="3" t="s">
        <v>94</v>
      </c>
      <c r="V3" s="3" t="s">
        <v>95</v>
      </c>
      <c r="W3" s="3" t="s">
        <v>393</v>
      </c>
      <c r="X3" s="3" t="s">
        <v>110</v>
      </c>
      <c r="Y3" s="3" t="s">
        <v>113</v>
      </c>
      <c r="Z3" s="3" t="s">
        <v>394</v>
      </c>
      <c r="AA3" s="226" t="s">
        <v>132</v>
      </c>
      <c r="AB3" s="227" t="s">
        <v>133</v>
      </c>
      <c r="AC3" s="556" t="s">
        <v>395</v>
      </c>
      <c r="AD3" s="222" t="s">
        <v>134</v>
      </c>
      <c r="AE3" s="223" t="s">
        <v>135</v>
      </c>
      <c r="AF3" s="223" t="s">
        <v>396</v>
      </c>
      <c r="AG3" s="226" t="s">
        <v>154</v>
      </c>
      <c r="AH3" s="227" t="s">
        <v>153</v>
      </c>
      <c r="AI3" s="556" t="s">
        <v>397</v>
      </c>
      <c r="AJ3" s="3" t="s">
        <v>169</v>
      </c>
      <c r="AK3" s="3" t="s">
        <v>170</v>
      </c>
      <c r="AL3" s="3" t="s">
        <v>398</v>
      </c>
      <c r="AM3" s="3" t="s">
        <v>199</v>
      </c>
      <c r="AN3" s="3" t="s">
        <v>200</v>
      </c>
      <c r="AO3" s="3" t="s">
        <v>399</v>
      </c>
      <c r="BA3" s="714" t="s">
        <v>149</v>
      </c>
      <c r="BB3" s="715"/>
      <c r="BC3" s="716"/>
      <c r="BD3" s="714" t="s">
        <v>150</v>
      </c>
      <c r="BE3" s="715"/>
      <c r="BF3" s="716"/>
      <c r="BG3" s="688" t="s">
        <v>325</v>
      </c>
      <c r="BH3" s="688"/>
      <c r="BI3" s="688"/>
      <c r="BJ3" s="688" t="s">
        <v>83</v>
      </c>
      <c r="BK3" s="688"/>
      <c r="BL3" s="688"/>
      <c r="BO3" s="688" t="s">
        <v>149</v>
      </c>
      <c r="BP3" s="688"/>
      <c r="BQ3" s="688" t="s">
        <v>150</v>
      </c>
      <c r="BR3" s="688"/>
      <c r="BS3" s="688" t="s">
        <v>83</v>
      </c>
      <c r="BT3" s="688"/>
      <c r="BU3" s="696" t="s">
        <v>47</v>
      </c>
      <c r="BV3" s="696"/>
      <c r="BW3" s="697" t="s">
        <v>47</v>
      </c>
      <c r="BX3" s="697"/>
      <c r="BY3" s="698" t="s">
        <v>47</v>
      </c>
      <c r="BZ3" s="698"/>
      <c r="CA3" s="699" t="s">
        <v>47</v>
      </c>
      <c r="CB3" s="692"/>
      <c r="CC3" s="695" t="s">
        <v>47</v>
      </c>
      <c r="CD3" s="700"/>
      <c r="CE3" s="693" t="s">
        <v>47</v>
      </c>
      <c r="CF3" s="694"/>
      <c r="CG3" s="689" t="s">
        <v>47</v>
      </c>
      <c r="CH3" s="690"/>
      <c r="CI3" s="689" t="s">
        <v>47</v>
      </c>
      <c r="CJ3" s="690"/>
      <c r="CK3" s="691" t="s">
        <v>47</v>
      </c>
      <c r="CL3" s="692"/>
      <c r="CM3" s="693" t="s">
        <v>47</v>
      </c>
      <c r="CN3" s="694"/>
      <c r="CO3" s="691" t="s">
        <v>47</v>
      </c>
      <c r="CP3" s="692"/>
      <c r="CQ3" s="689" t="s">
        <v>47</v>
      </c>
      <c r="CR3" s="690"/>
      <c r="CS3" s="695" t="s">
        <v>217</v>
      </c>
      <c r="CT3" s="696"/>
      <c r="CU3" s="697" t="s">
        <v>217</v>
      </c>
      <c r="CV3" s="697"/>
      <c r="CW3" s="698" t="s">
        <v>217</v>
      </c>
      <c r="CX3" s="698"/>
      <c r="CY3" s="699" t="s">
        <v>217</v>
      </c>
      <c r="CZ3" s="692"/>
      <c r="DA3" s="695" t="s">
        <v>217</v>
      </c>
      <c r="DB3" s="700"/>
      <c r="DC3" s="693" t="s">
        <v>217</v>
      </c>
      <c r="DD3" s="694"/>
      <c r="DE3" s="689" t="s">
        <v>217</v>
      </c>
      <c r="DF3" s="690"/>
      <c r="DG3" s="689" t="s">
        <v>217</v>
      </c>
      <c r="DH3" s="690"/>
      <c r="DI3" s="691" t="s">
        <v>217</v>
      </c>
      <c r="DJ3" s="692"/>
      <c r="DK3" s="693" t="s">
        <v>217</v>
      </c>
      <c r="DL3" s="694"/>
      <c r="DM3" s="691" t="s">
        <v>217</v>
      </c>
      <c r="DN3" s="692"/>
      <c r="DO3" s="689" t="s">
        <v>217</v>
      </c>
      <c r="DP3" s="690"/>
    </row>
    <row r="4" spans="1:120" outlineLevel="1" x14ac:dyDescent="0.25">
      <c r="A4" s="14">
        <v>0</v>
      </c>
      <c r="B4" s="3">
        <v>0</v>
      </c>
      <c r="C4" s="3">
        <v>0</v>
      </c>
      <c r="D4" s="22" t="str">
        <f>IFERROR(Tabelle3[[#This Row],[Ned (€)]]/Tabelle3[[#This Row],[Ned (Backer)]],"")</f>
        <v/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L4" s="3">
        <v>0</v>
      </c>
      <c r="M4" s="3">
        <v>0</v>
      </c>
      <c r="N4" s="22"/>
      <c r="O4" s="3">
        <v>0</v>
      </c>
      <c r="P4" s="3">
        <v>0</v>
      </c>
      <c r="Q4" s="22"/>
      <c r="R4" s="3">
        <v>0</v>
      </c>
      <c r="S4" s="3">
        <v>0</v>
      </c>
      <c r="T4" s="22"/>
      <c r="U4" s="3">
        <v>0</v>
      </c>
      <c r="V4" s="3">
        <v>0</v>
      </c>
      <c r="W4" s="22"/>
      <c r="X4" s="3">
        <v>0</v>
      </c>
      <c r="Y4" s="3">
        <v>0</v>
      </c>
      <c r="Z4" s="22"/>
      <c r="AA4" s="3">
        <v>0</v>
      </c>
      <c r="AB4" s="3">
        <v>0</v>
      </c>
      <c r="AC4" s="22"/>
      <c r="AD4" s="3">
        <v>0</v>
      </c>
      <c r="AE4" s="3">
        <v>0</v>
      </c>
      <c r="AF4" s="22"/>
      <c r="AG4" s="3">
        <v>0</v>
      </c>
      <c r="AH4" s="3">
        <v>0</v>
      </c>
      <c r="AI4" s="22"/>
      <c r="AJ4" s="3">
        <v>0</v>
      </c>
      <c r="AK4" s="3">
        <v>0</v>
      </c>
      <c r="AL4" s="22"/>
      <c r="AM4" s="184">
        <v>0</v>
      </c>
      <c r="AN4" s="184">
        <v>0</v>
      </c>
      <c r="AO4" s="22"/>
      <c r="AY4" s="216"/>
      <c r="AZ4" s="216"/>
      <c r="BA4" s="398" t="s">
        <v>16</v>
      </c>
      <c r="BB4" s="398" t="s">
        <v>56</v>
      </c>
      <c r="BC4" s="399" t="s">
        <v>230</v>
      </c>
      <c r="BD4" s="399" t="s">
        <v>16</v>
      </c>
      <c r="BE4" s="398" t="s">
        <v>56</v>
      </c>
      <c r="BF4" s="399" t="s">
        <v>230</v>
      </c>
      <c r="BG4" s="399" t="s">
        <v>16</v>
      </c>
      <c r="BH4" s="398" t="s">
        <v>56</v>
      </c>
      <c r="BI4" s="399" t="s">
        <v>230</v>
      </c>
      <c r="BJ4" s="399" t="s">
        <v>16</v>
      </c>
      <c r="BK4" s="398" t="s">
        <v>56</v>
      </c>
      <c r="BL4" s="399" t="s">
        <v>230</v>
      </c>
      <c r="BM4" s="216"/>
      <c r="BN4" s="10"/>
      <c r="BO4" s="395" t="s">
        <v>16</v>
      </c>
      <c r="BP4" s="395" t="s">
        <v>56</v>
      </c>
      <c r="BQ4" s="396" t="s">
        <v>16</v>
      </c>
      <c r="BR4" s="395" t="s">
        <v>56</v>
      </c>
      <c r="BS4" s="396" t="s">
        <v>16</v>
      </c>
      <c r="BT4" s="395" t="s">
        <v>56</v>
      </c>
      <c r="BU4" s="380" t="s">
        <v>138</v>
      </c>
      <c r="BV4" s="379" t="s">
        <v>139</v>
      </c>
      <c r="BW4" s="381" t="s">
        <v>54</v>
      </c>
      <c r="BX4" s="382" t="s">
        <v>55</v>
      </c>
      <c r="BY4" s="383" t="s">
        <v>142</v>
      </c>
      <c r="BZ4" s="384" t="s">
        <v>143</v>
      </c>
      <c r="CA4" s="385" t="s">
        <v>140</v>
      </c>
      <c r="CB4" s="386" t="s">
        <v>141</v>
      </c>
      <c r="CC4" s="380" t="s">
        <v>85</v>
      </c>
      <c r="CD4" s="387" t="s">
        <v>86</v>
      </c>
      <c r="CE4" s="381" t="s">
        <v>96</v>
      </c>
      <c r="CF4" s="388" t="s">
        <v>97</v>
      </c>
      <c r="CG4" s="389" t="s">
        <v>111</v>
      </c>
      <c r="CH4" s="390" t="s">
        <v>112</v>
      </c>
      <c r="CI4" s="389" t="s">
        <v>144</v>
      </c>
      <c r="CJ4" s="390" t="s">
        <v>145</v>
      </c>
      <c r="CK4" s="385" t="s">
        <v>146</v>
      </c>
      <c r="CL4" s="386" t="s">
        <v>147</v>
      </c>
      <c r="CM4" s="381" t="s">
        <v>155</v>
      </c>
      <c r="CN4" s="388" t="s">
        <v>156</v>
      </c>
      <c r="CO4" s="385" t="s">
        <v>171</v>
      </c>
      <c r="CP4" s="386" t="s">
        <v>172</v>
      </c>
      <c r="CQ4" s="389" t="s">
        <v>201</v>
      </c>
      <c r="CR4" s="390" t="s">
        <v>202</v>
      </c>
      <c r="CS4" s="710" t="s">
        <v>218</v>
      </c>
      <c r="CT4" s="713"/>
      <c r="CU4" s="707" t="s">
        <v>219</v>
      </c>
      <c r="CV4" s="707"/>
      <c r="CW4" s="708" t="s">
        <v>220</v>
      </c>
      <c r="CX4" s="708"/>
      <c r="CY4" s="709" t="s">
        <v>221</v>
      </c>
      <c r="CZ4" s="704"/>
      <c r="DA4" s="710" t="s">
        <v>222</v>
      </c>
      <c r="DB4" s="711"/>
      <c r="DC4" s="701" t="s">
        <v>223</v>
      </c>
      <c r="DD4" s="702"/>
      <c r="DE4" s="705" t="s">
        <v>224</v>
      </c>
      <c r="DF4" s="706"/>
      <c r="DG4" s="705" t="s">
        <v>225</v>
      </c>
      <c r="DH4" s="706"/>
      <c r="DI4" s="703" t="s">
        <v>226</v>
      </c>
      <c r="DJ4" s="704"/>
      <c r="DK4" s="701" t="s">
        <v>227</v>
      </c>
      <c r="DL4" s="702"/>
      <c r="DM4" s="703" t="s">
        <v>228</v>
      </c>
      <c r="DN4" s="704"/>
      <c r="DO4" s="705" t="s">
        <v>229</v>
      </c>
      <c r="DP4" s="706"/>
    </row>
    <row r="5" spans="1:120" ht="15.75" outlineLevel="1" thickBot="1" x14ac:dyDescent="0.3">
      <c r="A5" s="14">
        <v>1</v>
      </c>
      <c r="B5" s="3">
        <v>14771</v>
      </c>
      <c r="C5" s="3">
        <v>73</v>
      </c>
      <c r="D5" s="22">
        <f>IFERROR(Tabelle3[[#This Row],[Ned (€)]]/Tabelle3[[#This Row],[Ned (Backer)]],"")</f>
        <v>202.34246575342465</v>
      </c>
      <c r="E5" s="8">
        <f>E4+($E$7-$E$4)/3</f>
        <v>15333.333333333334</v>
      </c>
      <c r="F5" s="8">
        <f>F4+($F$7-$F$4)/3</f>
        <v>100</v>
      </c>
      <c r="G5" s="3">
        <v>65000</v>
      </c>
      <c r="H5" s="3">
        <v>500</v>
      </c>
      <c r="I5" s="3">
        <v>43437</v>
      </c>
      <c r="J5" s="3">
        <v>179</v>
      </c>
      <c r="K5" s="22">
        <f>Tabelle3[[#This Row],[Werkzeuge (€)]]/Tabelle3[[#This Row],[Werkzeuge (Backer)]]</f>
        <v>242.66480446927375</v>
      </c>
      <c r="L5" s="3">
        <v>36402</v>
      </c>
      <c r="M5" s="3">
        <v>195</v>
      </c>
      <c r="N5" s="22">
        <f>Tabelle3[[#This Row],[DSK Fasar (€)]]/Tabelle3[[#This Row],[DSK Fasar (Backer)]]</f>
        <v>186.67692307692309</v>
      </c>
      <c r="O5" s="3">
        <v>19612</v>
      </c>
      <c r="P5" s="3">
        <v>115</v>
      </c>
      <c r="Q5" s="22">
        <f>Tabelle3[[#This Row],[Mythen (€)]]/Tabelle3[[#This Row],[Mythen (Backer)]]</f>
        <v>170.53913043478261</v>
      </c>
      <c r="R5" s="3">
        <v>89735</v>
      </c>
      <c r="S5" s="3">
        <v>625</v>
      </c>
      <c r="T5" s="22">
        <f>Tabelle3[[#This Row],[SOK (€)]]/Tabelle3[[#This Row],[SOK (Backer)]]</f>
        <v>143.57599999999999</v>
      </c>
      <c r="U5" s="3">
        <v>82966</v>
      </c>
      <c r="V5" s="3">
        <v>341</v>
      </c>
      <c r="W5" s="22">
        <f>Tabelle3[[#This Row],[RE (€)]]/Tabelle3[[#This Row],[RE (Backer)]]</f>
        <v>243.30205278592376</v>
      </c>
      <c r="X5" s="3">
        <v>76466</v>
      </c>
      <c r="Y5" s="3">
        <v>317</v>
      </c>
      <c r="Z5" s="22">
        <f>Tabelle3[[#This Row],[DGG (€)]]/Tabelle3[[#This Row],[DGG (Backer)]]</f>
        <v>241.21766561514195</v>
      </c>
      <c r="AA5" s="3">
        <v>26725</v>
      </c>
      <c r="AB5" s="3">
        <v>136</v>
      </c>
      <c r="AC5" s="22">
        <f>Tabelle3[[#This Row],[DSK SV (€)]]/Tabelle3[[#This Row],[DSK SV (Backer)]]</f>
        <v>196.50735294117646</v>
      </c>
      <c r="AD5" s="3">
        <v>97183</v>
      </c>
      <c r="AE5" s="3">
        <v>489</v>
      </c>
      <c r="AF5" s="22">
        <f>Tabelle3[[#This Row],[WW (€)]]/Tabelle3[[#This Row],[WW (Backer)]]</f>
        <v>198.73824130879345</v>
      </c>
      <c r="AG5" s="3">
        <v>8357</v>
      </c>
      <c r="AH5" s="3">
        <v>67</v>
      </c>
      <c r="AI5" s="22">
        <f>Tabelle3[[#This Row],[DSK R (€)]]/Tabelle3[[#This Row],[DSK R (Backer)]]</f>
        <v>124.73134328358209</v>
      </c>
      <c r="AJ5" s="3">
        <v>39596</v>
      </c>
      <c r="AK5" s="3">
        <v>180</v>
      </c>
      <c r="AL5" s="22">
        <f>Tabelle3[[#This Row],[Ära (€)]]/Tabelle3[[#This Row],[Ära (Backer)]]</f>
        <v>219.97777777777779</v>
      </c>
      <c r="AM5" s="184">
        <f>'Übersicht &amp; Anleitung'!AS51</f>
        <v>25960</v>
      </c>
      <c r="AN5" s="184">
        <f>'Übersicht &amp; Anleitung'!AT51</f>
        <v>347</v>
      </c>
      <c r="AO5" s="22">
        <f>Tabelle3[[#This Row],[Mosaik (€)]]/Tabelle3[[#This Row],[Mosaik (Backer)]]</f>
        <v>74.812680115273778</v>
      </c>
      <c r="AZ5" s="424" t="s">
        <v>74</v>
      </c>
      <c r="BA5" s="6">
        <f t="shared" ref="BA5:BA25" si="0">$AM5*$BO5</f>
        <v>69164.08224215747</v>
      </c>
      <c r="BB5" s="6">
        <f t="shared" ref="BB5:BB25" si="1">$AN5*$BP5</f>
        <v>923.8528</v>
      </c>
      <c r="BC5" s="23">
        <f>BA5/BB5</f>
        <v>74.864829377750951</v>
      </c>
      <c r="BD5" s="6">
        <f t="shared" ref="BD5:BD25" si="2">$AM5*$BQ5</f>
        <v>163393.40438428122</v>
      </c>
      <c r="BE5" s="6">
        <f t="shared" ref="BE5:BE25" si="3">$AN5*$BR5</f>
        <v>2189.9555555555553</v>
      </c>
      <c r="BF5" s="23">
        <f>BD5/BE5</f>
        <v>74.610374612297107</v>
      </c>
      <c r="BG5" s="3">
        <f t="shared" ref="BG5:BG25" si="4">AVERAGE(BA5,BD5)</f>
        <v>116278.74331321934</v>
      </c>
      <c r="BH5" s="3">
        <f t="shared" ref="BH5:BH25" si="5">AVERAGE(BB5,BE5)</f>
        <v>1556.9041777777777</v>
      </c>
      <c r="BI5" s="23">
        <f>BG5/BH5</f>
        <v>74.685870185786229</v>
      </c>
      <c r="BJ5" s="3">
        <f>$AM5*$BS5</f>
        <v>105800.28127491614</v>
      </c>
      <c r="BK5" s="3">
        <f>$AN5*$BT5</f>
        <v>1344.1651168205087</v>
      </c>
      <c r="BL5" s="23">
        <f>BJ5/BK5</f>
        <v>78.710777382154035</v>
      </c>
      <c r="BN5" s="216" t="s">
        <v>74</v>
      </c>
      <c r="BO5" s="16">
        <f>MIN(BU5,BW5,BY5,CA5,CC5,CE5,CG5,CI5,CK5,CM5,CO5,CQ5)</f>
        <v>2.664255864489887</v>
      </c>
      <c r="BP5" s="16">
        <f>MIN(BV5,BX5,BZ5,CB5,CD5,CF5,CH5,CJ5,CL5,CN5,CP5,CR5)</f>
        <v>2.6623999999999999</v>
      </c>
      <c r="BQ5" s="397">
        <f>MAX(BU5,BW5,BY5,CA5,CC5,CE5,CG5,CI5,CK5,CM5,CO5,CQ5)</f>
        <v>6.294044853015456</v>
      </c>
      <c r="BR5" s="397">
        <f>MAX(BV5,BX5,BZ5,CB5,CD5,CF5,CH5,CJ5,CL5,CN5,CP5,CR5)</f>
        <v>6.3111111111111109</v>
      </c>
      <c r="BS5" s="397">
        <f>AVERAGE(BU5,BW5,BY5,CA5,CC5,CE5,CG5,CI5,CK5,CM5,CO5,CQ5)</f>
        <v>4.0755116053511609</v>
      </c>
      <c r="BT5" s="397">
        <f>AVERAGE(BV5,BX5,BZ5,CB5,CD5,CF5,CH5,CJ5,CL5,CN5,CP5)</f>
        <v>3.8736746882435411</v>
      </c>
      <c r="BU5" s="17">
        <f t="shared" ref="BU5:BU25" si="6">B$25/B5</f>
        <v>4.2207704285424139</v>
      </c>
      <c r="BV5" s="7">
        <f t="shared" ref="BV5:BV25" si="7">C$25/C5</f>
        <v>4.7534246575342465</v>
      </c>
      <c r="BW5" s="4">
        <f>G$25/G5</f>
        <v>4.0940923076923079</v>
      </c>
      <c r="BX5" s="7">
        <f>H$25/H5</f>
        <v>3.1440000000000001</v>
      </c>
      <c r="BY5" s="4">
        <f>I$25/I5</f>
        <v>3.9298524299560285</v>
      </c>
      <c r="BZ5" s="7">
        <f>J$25/J5</f>
        <v>4.2234636871508382</v>
      </c>
      <c r="CA5" s="12">
        <f>L$25/L5</f>
        <v>3.3980001098840722</v>
      </c>
      <c r="CB5" s="29">
        <f>M$25/M5</f>
        <v>3.3743589743589744</v>
      </c>
      <c r="CC5" s="12">
        <f>O$25/O5</f>
        <v>4.5885682235366101</v>
      </c>
      <c r="CD5" s="29">
        <f>P$25/P5</f>
        <v>4.321739130434783</v>
      </c>
      <c r="CE5" s="12">
        <f>R$25/R5</f>
        <v>2.664255864489887</v>
      </c>
      <c r="CF5" s="29">
        <f>S$25/S5</f>
        <v>2.6623999999999999</v>
      </c>
      <c r="CG5" s="12">
        <f>U$25/U5</f>
        <v>4.7068317141961771</v>
      </c>
      <c r="CH5" s="29">
        <f>V$25/V5</f>
        <v>4.8621700879765397</v>
      </c>
      <c r="CI5" s="12">
        <f>X$25/X5</f>
        <v>3.0265739021264353</v>
      </c>
      <c r="CJ5" s="29">
        <f>Y$25/Y5</f>
        <v>3.0757097791798107</v>
      </c>
      <c r="CK5" s="12">
        <f>AA$25/AA5</f>
        <v>4.3073152478952288</v>
      </c>
      <c r="CL5" s="29">
        <f>AB$25/AB5</f>
        <v>4.742647058823529</v>
      </c>
      <c r="CM5" s="12">
        <f>AD$25/AD5</f>
        <v>3.3383925172098001</v>
      </c>
      <c r="CN5" s="29">
        <f>AE$25/AE5</f>
        <v>3.4355828220858897</v>
      </c>
      <c r="CO5" s="12">
        <f>AG$25/AG5</f>
        <v>4.3374416656694983</v>
      </c>
      <c r="CP5" s="29">
        <f>AH$25/AH5</f>
        <v>4.0149253731343286</v>
      </c>
      <c r="CQ5" s="12">
        <f>AJ$25/AJ5</f>
        <v>6.294044853015456</v>
      </c>
      <c r="CR5" s="29">
        <f>AK$25/AK5</f>
        <v>6.3111111111111109</v>
      </c>
      <c r="CS5" s="18"/>
      <c r="CT5" s="20">
        <f t="shared" ref="CT5:CT25" si="8">BU5-BV5</f>
        <v>-0.53265422899183257</v>
      </c>
      <c r="CU5" s="21"/>
      <c r="CV5" s="20"/>
      <c r="CW5" s="21"/>
      <c r="CX5" s="20">
        <f t="shared" ref="CX5:CX25" si="9">BY5-BZ5</f>
        <v>-0.29361125719480974</v>
      </c>
      <c r="CY5" s="21"/>
      <c r="CZ5" s="19">
        <f t="shared" ref="CZ5:CZ25" si="10">CA5-CB5</f>
        <v>2.3641135525097834E-2</v>
      </c>
      <c r="DA5" s="21"/>
      <c r="DB5" s="19">
        <f t="shared" ref="DB5:DB25" si="11">CC5-CD5</f>
        <v>0.26682909310182712</v>
      </c>
      <c r="DC5" s="21"/>
      <c r="DD5" s="19">
        <f t="shared" ref="DD5:DD25" si="12">CE5-CF5</f>
        <v>1.8558644898871712E-3</v>
      </c>
      <c r="DE5" s="21"/>
      <c r="DF5" s="19">
        <f t="shared" ref="DF5:DF25" si="13">CG5-CH5</f>
        <v>-0.15533837378036264</v>
      </c>
      <c r="DG5" s="21"/>
      <c r="DH5" s="19">
        <f t="shared" ref="DH5:DH25" si="14">CI5-CJ5</f>
        <v>-4.913587705337541E-2</v>
      </c>
      <c r="DI5" s="21"/>
      <c r="DJ5" s="19">
        <f t="shared" ref="DJ5:DJ25" si="15">CK5-CL5</f>
        <v>-0.4353318109283002</v>
      </c>
      <c r="DK5" s="21"/>
      <c r="DL5" s="19">
        <f t="shared" ref="DL5:DL25" si="16">CM5-CN5</f>
        <v>-9.7190304876089595E-2</v>
      </c>
      <c r="DM5" s="21"/>
      <c r="DN5" s="19">
        <f t="shared" ref="DN5:DN25" si="17">CO5-CP5</f>
        <v>0.32251629253516967</v>
      </c>
      <c r="DO5" s="21"/>
      <c r="DP5" s="19">
        <f t="shared" ref="DP5:DP25" si="18">CQ5-CR5</f>
        <v>-1.7066258095654874E-2</v>
      </c>
    </row>
    <row r="6" spans="1:120" ht="15.75" outlineLevel="1" thickBot="1" x14ac:dyDescent="0.3">
      <c r="A6" s="14">
        <v>2</v>
      </c>
      <c r="B6" s="3">
        <v>16764</v>
      </c>
      <c r="C6" s="3">
        <v>82</v>
      </c>
      <c r="D6" s="22">
        <f>IFERROR(Tabelle3[[#This Row],[Ned (€)]]/Tabelle3[[#This Row],[Ned (Backer)]],"")</f>
        <v>204.4390243902439</v>
      </c>
      <c r="E6" s="8">
        <f>E5+($E$7-$E$4)/3</f>
        <v>30666.666666666668</v>
      </c>
      <c r="F6" s="8">
        <f>F5+($F$7-$F$4)/3</f>
        <v>200</v>
      </c>
      <c r="G6" s="8">
        <f>G5+($G$15-$G$5)/10</f>
        <v>71000</v>
      </c>
      <c r="H6" s="8">
        <f>H5+($H$15-$H$5)/10</f>
        <v>540</v>
      </c>
      <c r="I6" s="3">
        <v>49522</v>
      </c>
      <c r="J6" s="3">
        <v>206</v>
      </c>
      <c r="K6" s="22">
        <f>Tabelle3[[#This Row],[Werkzeuge (€)]]/Tabelle3[[#This Row],[Werkzeuge (Backer)]]</f>
        <v>240.39805825242718</v>
      </c>
      <c r="L6" s="3">
        <v>42659</v>
      </c>
      <c r="M6" s="3">
        <v>233</v>
      </c>
      <c r="N6" s="22">
        <f>Tabelle3[[#This Row],[DSK Fasar (€)]]/Tabelle3[[#This Row],[DSK Fasar (Backer)]]</f>
        <v>183.08583690987123</v>
      </c>
      <c r="O6" s="3">
        <v>24532</v>
      </c>
      <c r="P6" s="3">
        <v>145</v>
      </c>
      <c r="Q6" s="22">
        <f>Tabelle3[[#This Row],[Mythen (€)]]/Tabelle3[[#This Row],[Mythen (Backer)]]</f>
        <v>169.18620689655174</v>
      </c>
      <c r="R6" s="3">
        <v>114003</v>
      </c>
      <c r="S6" s="3">
        <v>789</v>
      </c>
      <c r="T6" s="564">
        <f>Tabelle3[[#This Row],[SOK (€)]]/Tabelle3[[#This Row],[SOK (Backer)]]</f>
        <v>144.49049429657794</v>
      </c>
      <c r="U6" s="3">
        <v>96328</v>
      </c>
      <c r="V6" s="3">
        <v>404</v>
      </c>
      <c r="W6" s="22">
        <f>Tabelle3[[#This Row],[RE (€)]]/Tabelle3[[#This Row],[RE (Backer)]]</f>
        <v>238.43564356435644</v>
      </c>
      <c r="X6" s="3">
        <v>100197</v>
      </c>
      <c r="Y6" s="3">
        <v>417</v>
      </c>
      <c r="Z6" s="22">
        <f>Tabelle3[[#This Row],[DGG (€)]]/Tabelle3[[#This Row],[DGG (Backer)]]</f>
        <v>240.28057553956833</v>
      </c>
      <c r="AA6" s="3">
        <v>32416</v>
      </c>
      <c r="AB6" s="3">
        <v>172</v>
      </c>
      <c r="AC6" s="22">
        <f>Tabelle3[[#This Row],[DSK SV (€)]]/Tabelle3[[#This Row],[DSK SV (Backer)]]</f>
        <v>188.46511627906978</v>
      </c>
      <c r="AD6" s="3">
        <v>121393</v>
      </c>
      <c r="AE6" s="3">
        <v>618</v>
      </c>
      <c r="AF6" s="22">
        <f>Tabelle3[[#This Row],[WW (€)]]/Tabelle3[[#This Row],[WW (Backer)]]</f>
        <v>196.42880258899677</v>
      </c>
      <c r="AG6" s="3">
        <v>11433</v>
      </c>
      <c r="AH6" s="3">
        <v>89</v>
      </c>
      <c r="AI6" s="564">
        <f>Tabelle3[[#This Row],[DSK R (€)]]/Tabelle3[[#This Row],[DSK R (Backer)]]</f>
        <v>128.46067415730337</v>
      </c>
      <c r="AJ6" s="3">
        <v>55623</v>
      </c>
      <c r="AK6" s="3">
        <v>256</v>
      </c>
      <c r="AL6" s="22">
        <f>Tabelle3[[#This Row],[Ära (€)]]/Tabelle3[[#This Row],[Ära (Backer)]]</f>
        <v>217.27734375</v>
      </c>
      <c r="AM6" s="184">
        <f>'Übersicht &amp; Anleitung'!AS52</f>
        <v>35712</v>
      </c>
      <c r="AN6" s="184">
        <f>'Übersicht &amp; Anleitung'!AT52</f>
        <v>483</v>
      </c>
      <c r="AO6" s="22">
        <f>Tabelle3[[#This Row],[Mosaik (€)]]/Tabelle3[[#This Row],[Mosaik (Backer)]]</f>
        <v>73.937888198757761</v>
      </c>
      <c r="AZ6" s="424" t="s">
        <v>75</v>
      </c>
      <c r="BA6" s="6">
        <f t="shared" si="0"/>
        <v>74892.045156706401</v>
      </c>
      <c r="BB6" s="6">
        <f t="shared" si="1"/>
        <v>1018.6463878326997</v>
      </c>
      <c r="BC6" s="23">
        <f t="shared" ref="BC6:BC25" si="19">BA6/BB6</f>
        <v>73.521141439522296</v>
      </c>
      <c r="BD6" s="6">
        <f t="shared" si="2"/>
        <v>160007.7113424303</v>
      </c>
      <c r="BE6" s="6">
        <f t="shared" si="3"/>
        <v>2143.3125</v>
      </c>
      <c r="BF6" s="23">
        <f t="shared" ref="BF6:BF25" si="20">BD6/BE6</f>
        <v>74.654401232872146</v>
      </c>
      <c r="BG6" s="3">
        <f t="shared" si="4"/>
        <v>117449.87824956834</v>
      </c>
      <c r="BH6" s="3">
        <f t="shared" si="5"/>
        <v>1580.9794439163497</v>
      </c>
      <c r="BI6" s="23">
        <f t="shared" ref="BI6:BI25" si="21">BG6/BH6</f>
        <v>74.289313944921005</v>
      </c>
      <c r="BJ6" s="3">
        <f t="shared" ref="BJ6:BJ25" si="22">$AM6*$BS6</f>
        <v>117100.77499682503</v>
      </c>
      <c r="BK6" s="3">
        <f t="shared" ref="BK6:BK25" si="23">$AN6*$BT6</f>
        <v>1555.029990976903</v>
      </c>
      <c r="BL6" s="23">
        <f t="shared" ref="BL6:BL25" si="24">BJ6/BK6</f>
        <v>75.304512244975939</v>
      </c>
      <c r="BN6" s="216" t="s">
        <v>75</v>
      </c>
      <c r="BO6" s="16">
        <f>MIN(BU6,BW6,BY6,CA6,CC6,CE6,CG6,CI6,CK6,CM6,CO6,CQ6)</f>
        <v>2.0971114795224688</v>
      </c>
      <c r="BP6" s="16">
        <f>MIN(BV6,BX6,BZ6,CB6,CD6,CF6,CH6,CJ6,CL6,CN6,CP6,CR6)</f>
        <v>2.1089987325728772</v>
      </c>
      <c r="BQ6" s="397">
        <f>MAX(BU6,BW6,BY6,CA6,CC6,CE6,CG6,CI6,CK6,CM6,CO6,CQ6)</f>
        <v>4.4805026697589128</v>
      </c>
      <c r="BR6" s="397">
        <f>MAX(BV6,BX6,BZ6,CB6,CD6,CF6,CH6,CJ6,CL6,CN6,CP6,CR6)</f>
        <v>4.4375</v>
      </c>
      <c r="BS6" s="397">
        <f>AVERAGE(BU6,BW6,BY6,CA6,CC6,CE6,CG6,CI6,CK6,CM6,CO6,CQ6)</f>
        <v>3.2790315579308085</v>
      </c>
      <c r="BT6" s="397">
        <f>AVERAGE(BV6,BX6,BZ6,CB6,CD6,CF6,CH6,CJ6,CL6,CN6,CP6)</f>
        <v>3.2195237908424494</v>
      </c>
      <c r="BU6" s="17">
        <f t="shared" si="6"/>
        <v>3.7189811500835122</v>
      </c>
      <c r="BV6" s="7">
        <f t="shared" si="7"/>
        <v>4.2317073170731705</v>
      </c>
      <c r="BW6" s="28"/>
      <c r="BX6" s="32"/>
      <c r="BY6" s="12">
        <f t="shared" ref="BY6:BY25" si="25">I$25/I6</f>
        <v>3.4469730624772827</v>
      </c>
      <c r="BZ6" s="13">
        <f t="shared" ref="BZ6:BZ25" si="26">J$25/J6</f>
        <v>3.6699029126213594</v>
      </c>
      <c r="CA6" s="12">
        <f t="shared" ref="CA6:CA25" si="27">L$25/L6</f>
        <v>2.8995991467216764</v>
      </c>
      <c r="CB6" s="29">
        <f t="shared" ref="CB6:CB25" si="28">M$25/M6</f>
        <v>2.8240343347639487</v>
      </c>
      <c r="CC6" s="12">
        <f t="shared" ref="CC6:CC25" si="29">O$25/O6</f>
        <v>3.6683107777596606</v>
      </c>
      <c r="CD6" s="29">
        <f t="shared" ref="CD6:CD25" si="30">P$25/P6</f>
        <v>3.4275862068965517</v>
      </c>
      <c r="CE6" s="12">
        <f t="shared" ref="CE6:CE25" si="31">R$25/R6</f>
        <v>2.0971114795224688</v>
      </c>
      <c r="CF6" s="29">
        <f t="shared" ref="CF6:CF25" si="32">S$25/S6</f>
        <v>2.1089987325728772</v>
      </c>
      <c r="CG6" s="12">
        <f t="shared" ref="CG6:CG25" si="33">U$25/U6</f>
        <v>4.0539303214018769</v>
      </c>
      <c r="CH6" s="29">
        <f t="shared" ref="CH6:CH25" si="34">V$25/V6</f>
        <v>4.1039603960396036</v>
      </c>
      <c r="CI6" s="12">
        <f t="shared" ref="CI6:CI25" si="35">X$25/X6</f>
        <v>2.3097497929079713</v>
      </c>
      <c r="CJ6" s="29">
        <f t="shared" ref="CJ6:CJ25" si="36">Y$25/Y6</f>
        <v>2.3381294964028778</v>
      </c>
      <c r="CK6" s="12">
        <f t="shared" ref="CK6:CK25" si="37">AA$25/AA6</f>
        <v>3.5511167324777886</v>
      </c>
      <c r="CL6" s="29">
        <f t="shared" ref="CL6:CL25" si="38">AB$25/AB6</f>
        <v>3.75</v>
      </c>
      <c r="CM6" s="12">
        <f t="shared" ref="CM6:CM25" si="39">AD$25/AD6</f>
        <v>2.6726005618116364</v>
      </c>
      <c r="CN6" s="29">
        <f t="shared" ref="CN6:CN25" si="40">AE$25/AE6</f>
        <v>2.7184466019417477</v>
      </c>
      <c r="CO6" s="12">
        <f t="shared" ref="CO6:CO25" si="41">AG$25/AG6</f>
        <v>3.1704714423161025</v>
      </c>
      <c r="CP6" s="29">
        <f t="shared" ref="CP6:CP25" si="42">AH$25/AH6</f>
        <v>3.0224719101123596</v>
      </c>
      <c r="CQ6" s="12">
        <f t="shared" ref="CQ6:CQ25" si="43">AJ$25/AJ6</f>
        <v>4.4805026697589128</v>
      </c>
      <c r="CR6" s="29">
        <f t="shared" ref="CR6:CR25" si="44">AK$25/AK6</f>
        <v>4.4375</v>
      </c>
      <c r="CS6" s="18"/>
      <c r="CT6" s="20">
        <f t="shared" si="8"/>
        <v>-0.51272616698965834</v>
      </c>
      <c r="CU6" s="33"/>
      <c r="CV6" s="34"/>
      <c r="CW6" s="30"/>
      <c r="CX6" s="31">
        <f t="shared" si="9"/>
        <v>-0.22292985014407662</v>
      </c>
      <c r="CY6" s="21"/>
      <c r="CZ6" s="19">
        <f t="shared" si="10"/>
        <v>7.5564811957727684E-2</v>
      </c>
      <c r="DA6" s="21"/>
      <c r="DB6" s="19">
        <f t="shared" si="11"/>
        <v>0.24072457086310894</v>
      </c>
      <c r="DC6" s="21"/>
      <c r="DD6" s="19">
        <f t="shared" si="12"/>
        <v>-1.1887253050408386E-2</v>
      </c>
      <c r="DE6" s="21"/>
      <c r="DF6" s="19">
        <f t="shared" si="13"/>
        <v>-5.0030074637726685E-2</v>
      </c>
      <c r="DG6" s="21"/>
      <c r="DH6" s="19">
        <f t="shared" si="14"/>
        <v>-2.8379703494906483E-2</v>
      </c>
      <c r="DI6" s="21"/>
      <c r="DJ6" s="19">
        <f t="shared" si="15"/>
        <v>-0.19888326752221142</v>
      </c>
      <c r="DK6" s="21"/>
      <c r="DL6" s="19">
        <f t="shared" si="16"/>
        <v>-4.5846040130111287E-2</v>
      </c>
      <c r="DM6" s="21"/>
      <c r="DN6" s="19">
        <f t="shared" si="17"/>
        <v>0.14799953220374285</v>
      </c>
      <c r="DO6" s="21"/>
      <c r="DP6" s="19">
        <f t="shared" si="18"/>
        <v>4.3002669758912759E-2</v>
      </c>
    </row>
    <row r="7" spans="1:120" ht="15.75" outlineLevel="1" thickBot="1" x14ac:dyDescent="0.3">
      <c r="A7" s="14">
        <v>3</v>
      </c>
      <c r="B7" s="3">
        <v>17674</v>
      </c>
      <c r="C7" s="3">
        <v>90</v>
      </c>
      <c r="D7" s="22">
        <f>IFERROR(Tabelle3[[#This Row],[Ned (€)]]/Tabelle3[[#This Row],[Ned (Backer)]],"")</f>
        <v>196.37777777777777</v>
      </c>
      <c r="E7" s="3">
        <v>46000</v>
      </c>
      <c r="F7" s="3">
        <v>300</v>
      </c>
      <c r="G7" s="8">
        <f t="shared" ref="G7:G14" si="45">G6+($G$15-$G$5)/10</f>
        <v>77000</v>
      </c>
      <c r="H7" s="8">
        <f t="shared" ref="H7:H14" si="46">H6+($H$15-$H$5)/10</f>
        <v>580</v>
      </c>
      <c r="I7" s="3">
        <v>53901</v>
      </c>
      <c r="J7" s="3">
        <v>224</v>
      </c>
      <c r="K7" s="22">
        <f>Tabelle3[[#This Row],[Werkzeuge (€)]]/Tabelle3[[#This Row],[Werkzeuge (Backer)]]</f>
        <v>240.62946428571428</v>
      </c>
      <c r="L7" s="3">
        <v>45273</v>
      </c>
      <c r="M7" s="3">
        <v>248</v>
      </c>
      <c r="N7" s="22">
        <f>Tabelle3[[#This Row],[DSK Fasar (€)]]/Tabelle3[[#This Row],[DSK Fasar (Backer)]]</f>
        <v>182.55241935483872</v>
      </c>
      <c r="O7" s="3">
        <v>27671</v>
      </c>
      <c r="P7" s="3">
        <v>162</v>
      </c>
      <c r="Q7" s="22">
        <f>Tabelle3[[#This Row],[Mythen (€)]]/Tabelle3[[#This Row],[Mythen (Backer)]]</f>
        <v>170.80864197530863</v>
      </c>
      <c r="R7" s="3">
        <v>122519</v>
      </c>
      <c r="S7" s="3">
        <v>852</v>
      </c>
      <c r="T7" s="22">
        <f>Tabelle3[[#This Row],[SOK (€)]]/Tabelle3[[#This Row],[SOK (Backer)]]</f>
        <v>143.80164319248826</v>
      </c>
      <c r="U7" s="3">
        <v>115147</v>
      </c>
      <c r="V7" s="3">
        <v>480</v>
      </c>
      <c r="W7" s="564">
        <f>Tabelle3[[#This Row],[RE (€)]]/Tabelle3[[#This Row],[RE (Backer)]]</f>
        <v>239.88958333333332</v>
      </c>
      <c r="X7" s="3">
        <v>110488</v>
      </c>
      <c r="Y7" s="3">
        <v>458</v>
      </c>
      <c r="Z7" s="564">
        <f>Tabelle3[[#This Row],[DGG (€)]]/Tabelle3[[#This Row],[DGG (Backer)]]</f>
        <v>241.24017467248908</v>
      </c>
      <c r="AA7" s="3">
        <v>38191</v>
      </c>
      <c r="AB7" s="3">
        <v>199</v>
      </c>
      <c r="AC7" s="564">
        <f>Tabelle3[[#This Row],[DSK SV (€)]]/Tabelle3[[#This Row],[DSK SV (Backer)]]</f>
        <v>191.9145728643216</v>
      </c>
      <c r="AD7" s="3">
        <v>143837</v>
      </c>
      <c r="AE7" s="3">
        <v>731</v>
      </c>
      <c r="AF7" s="22">
        <f>Tabelle3[[#This Row],[WW (€)]]/Tabelle3[[#This Row],[WW (Backer)]]</f>
        <v>196.76744186046511</v>
      </c>
      <c r="AG7" s="3">
        <v>13158</v>
      </c>
      <c r="AH7" s="3">
        <v>101</v>
      </c>
      <c r="AI7" s="22">
        <f>Tabelle3[[#This Row],[DSK R (€)]]/Tabelle3[[#This Row],[DSK R (Backer)]]</f>
        <v>130.27722772277227</v>
      </c>
      <c r="AJ7" s="3">
        <v>65490</v>
      </c>
      <c r="AK7" s="3">
        <v>301</v>
      </c>
      <c r="AL7" s="22">
        <f>Tabelle3[[#This Row],[Ära (€)]]/Tabelle3[[#This Row],[Ära (Backer)]]</f>
        <v>217.5747508305648</v>
      </c>
      <c r="AM7" s="184">
        <f>'Übersicht &amp; Anleitung'!AS53</f>
        <v>39341</v>
      </c>
      <c r="AN7" s="184">
        <f>'Übersicht &amp; Anleitung'!AT53</f>
        <v>536</v>
      </c>
      <c r="AO7" s="22">
        <f>Tabelle3[[#This Row],[Mosaik (€)]]/Tabelle3[[#This Row],[Mosaik (Backer)]]</f>
        <v>73.397388059701498</v>
      </c>
      <c r="AZ7" s="424" t="s">
        <v>82</v>
      </c>
      <c r="BA7" s="6">
        <f t="shared" si="0"/>
        <v>76767.915645736575</v>
      </c>
      <c r="BB7" s="6">
        <f t="shared" si="1"/>
        <v>1046.8356807511736</v>
      </c>
      <c r="BC7" s="23">
        <f t="shared" si="19"/>
        <v>73.333300590834398</v>
      </c>
      <c r="BD7" s="6">
        <f t="shared" si="2"/>
        <v>149710.25620705451</v>
      </c>
      <c r="BE7" s="6">
        <f t="shared" si="3"/>
        <v>2066.577777777778</v>
      </c>
      <c r="BF7" s="23">
        <f t="shared" si="20"/>
        <v>72.44356240394697</v>
      </c>
      <c r="BG7" s="3">
        <f t="shared" si="4"/>
        <v>113239.08592639555</v>
      </c>
      <c r="BH7" s="3">
        <f t="shared" si="5"/>
        <v>1556.7067292644758</v>
      </c>
      <c r="BI7" s="23">
        <f t="shared" si="21"/>
        <v>72.742722696329309</v>
      </c>
      <c r="BJ7" s="3">
        <f t="shared" si="22"/>
        <v>114253.85665432279</v>
      </c>
      <c r="BK7" s="3">
        <f t="shared" si="23"/>
        <v>1537.8116494605408</v>
      </c>
      <c r="BL7" s="23">
        <f t="shared" si="24"/>
        <v>74.296391690362512</v>
      </c>
      <c r="BN7" s="216" t="s">
        <v>82</v>
      </c>
      <c r="BO7" s="16">
        <f t="shared" ref="BO7:BO14" si="47">MIN(BU7,BW7,BY7,CA7,CC7,CE7,CG7,CI7,CK7,CM7,CO7,CQ7)</f>
        <v>1.9513463217949869</v>
      </c>
      <c r="BP7" s="16">
        <f t="shared" ref="BP7:BP14" si="48">MIN(BV7,BX7,BZ7,CB7,CD7,CF7,CH7,CJ7,CL7,CN7,CP7,CR7)</f>
        <v>1.9530516431924883</v>
      </c>
      <c r="BQ7" s="397">
        <f t="shared" ref="BQ7:BQ14" si="49">MAX(BU7,BW7,BY7,CA7,CC7,CE7,CG7,CI7,CK7,CM7,CO7,CQ7)</f>
        <v>3.8054512139257901</v>
      </c>
      <c r="BR7" s="397">
        <f t="shared" ref="BR7:BR14" si="50">MAX(BV7,BX7,BZ7,CB7,CD7,CF7,CH7,CJ7,CL7,CN7,CP7,CR7)</f>
        <v>3.8555555555555556</v>
      </c>
      <c r="BS7" s="397">
        <f t="shared" ref="BS7:BS14" si="51">AVERAGE(BU7,BW7,BY7,CA7,CC7,CE7,CG7,CI7,CK7,CM7,CO7,CQ7)</f>
        <v>2.90419299596662</v>
      </c>
      <c r="BT7" s="397">
        <f t="shared" ref="BT7:BT14" si="52">AVERAGE(BV7,BX7,BZ7,CB7,CD7,CF7,CH7,CJ7,CL7,CN7,CP7)</f>
        <v>2.869051584814442</v>
      </c>
      <c r="BU7" s="17">
        <f t="shared" si="6"/>
        <v>3.5274980196899399</v>
      </c>
      <c r="BV7" s="7">
        <f t="shared" si="7"/>
        <v>3.8555555555555556</v>
      </c>
      <c r="BW7" s="28"/>
      <c r="BX7" s="32"/>
      <c r="BY7" s="12">
        <f t="shared" si="25"/>
        <v>3.166935678373314</v>
      </c>
      <c r="BZ7" s="13">
        <f t="shared" si="26"/>
        <v>3.375</v>
      </c>
      <c r="CA7" s="12">
        <f t="shared" si="27"/>
        <v>2.7321803282309545</v>
      </c>
      <c r="CB7" s="29">
        <f t="shared" si="28"/>
        <v>2.653225806451613</v>
      </c>
      <c r="CC7" s="12">
        <f t="shared" si="29"/>
        <v>3.252177369809548</v>
      </c>
      <c r="CD7" s="29">
        <f t="shared" si="30"/>
        <v>3.0679012345679011</v>
      </c>
      <c r="CE7" s="12">
        <f t="shared" si="31"/>
        <v>1.9513463217949869</v>
      </c>
      <c r="CF7" s="29">
        <f t="shared" si="32"/>
        <v>1.9530516431924883</v>
      </c>
      <c r="CG7" s="12">
        <f t="shared" si="33"/>
        <v>3.3913779777154418</v>
      </c>
      <c r="CH7" s="29">
        <f t="shared" si="34"/>
        <v>3.4541666666666666</v>
      </c>
      <c r="CI7" s="12">
        <f t="shared" si="35"/>
        <v>2.0946166099485919</v>
      </c>
      <c r="CJ7" s="29">
        <f t="shared" si="36"/>
        <v>2.1288209606986901</v>
      </c>
      <c r="CK7" s="12">
        <f t="shared" si="37"/>
        <v>3.014139456940117</v>
      </c>
      <c r="CL7" s="29">
        <f t="shared" si="38"/>
        <v>3.2412060301507539</v>
      </c>
      <c r="CM7" s="12">
        <f t="shared" si="39"/>
        <v>2.2555740178118286</v>
      </c>
      <c r="CN7" s="29">
        <f t="shared" si="40"/>
        <v>2.2982216142270864</v>
      </c>
      <c r="CO7" s="12">
        <f t="shared" si="41"/>
        <v>2.7548259613923087</v>
      </c>
      <c r="CP7" s="29">
        <f t="shared" si="42"/>
        <v>2.6633663366336635</v>
      </c>
      <c r="CQ7" s="12">
        <f t="shared" si="43"/>
        <v>3.8054512139257901</v>
      </c>
      <c r="CR7" s="29">
        <f t="shared" si="44"/>
        <v>3.7740863787375414</v>
      </c>
      <c r="CS7" s="18"/>
      <c r="CT7" s="20">
        <f t="shared" si="8"/>
        <v>-0.3280575358656157</v>
      </c>
      <c r="CU7" s="33"/>
      <c r="CV7" s="34"/>
      <c r="CW7" s="30"/>
      <c r="CX7" s="31">
        <f t="shared" si="9"/>
        <v>-0.20806432162668598</v>
      </c>
      <c r="CY7" s="21"/>
      <c r="CZ7" s="19">
        <f t="shared" si="10"/>
        <v>7.895452177934148E-2</v>
      </c>
      <c r="DA7" s="21"/>
      <c r="DB7" s="19">
        <f t="shared" si="11"/>
        <v>0.18427613524164688</v>
      </c>
      <c r="DC7" s="21"/>
      <c r="DD7" s="19">
        <f t="shared" si="12"/>
        <v>-1.705321397501347E-3</v>
      </c>
      <c r="DE7" s="21"/>
      <c r="DF7" s="19">
        <f t="shared" si="13"/>
        <v>-6.2788688951224803E-2</v>
      </c>
      <c r="DG7" s="21"/>
      <c r="DH7" s="19">
        <f t="shared" si="14"/>
        <v>-3.42043507500982E-2</v>
      </c>
      <c r="DI7" s="21"/>
      <c r="DJ7" s="19">
        <f t="shared" si="15"/>
        <v>-0.22706657321063695</v>
      </c>
      <c r="DK7" s="21"/>
      <c r="DL7" s="19">
        <f t="shared" si="16"/>
        <v>-4.2647596415257727E-2</v>
      </c>
      <c r="DM7" s="21"/>
      <c r="DN7" s="19">
        <f t="shared" si="17"/>
        <v>9.1459624758645219E-2</v>
      </c>
      <c r="DO7" s="21"/>
      <c r="DP7" s="19">
        <f t="shared" si="18"/>
        <v>3.136483518824873E-2</v>
      </c>
    </row>
    <row r="8" spans="1:120" ht="15.75" outlineLevel="1" thickBot="1" x14ac:dyDescent="0.3">
      <c r="A8" s="14">
        <v>4</v>
      </c>
      <c r="B8" s="3">
        <v>18881</v>
      </c>
      <c r="C8" s="3">
        <v>95</v>
      </c>
      <c r="D8" s="564">
        <f>IFERROR(Tabelle3[[#This Row],[Ned (€)]]/Tabelle3[[#This Row],[Ned (Backer)]],"")</f>
        <v>198.74736842105264</v>
      </c>
      <c r="E8" s="8">
        <f>E7+($E$25-$E$7)/18</f>
        <v>50100.388888888891</v>
      </c>
      <c r="F8" s="8">
        <f>F7+($F$25-$F$7)/18</f>
        <v>322.83333333333331</v>
      </c>
      <c r="G8" s="8">
        <f t="shared" si="45"/>
        <v>83000</v>
      </c>
      <c r="H8" s="8">
        <f t="shared" si="46"/>
        <v>620</v>
      </c>
      <c r="I8" s="3">
        <v>59963</v>
      </c>
      <c r="J8" s="3">
        <v>247</v>
      </c>
      <c r="K8" s="564">
        <f>Tabelle3[[#This Row],[Werkzeuge (€)]]/Tabelle3[[#This Row],[Werkzeuge (Backer)]]</f>
        <v>242.76518218623482</v>
      </c>
      <c r="L8" s="3">
        <v>47957</v>
      </c>
      <c r="M8" s="3">
        <v>264</v>
      </c>
      <c r="N8" s="22">
        <f>Tabelle3[[#This Row],[DSK Fasar (€)]]/Tabelle3[[#This Row],[DSK Fasar (Backer)]]</f>
        <v>181.65530303030303</v>
      </c>
      <c r="O8" s="3">
        <v>30324</v>
      </c>
      <c r="P8" s="3">
        <v>178</v>
      </c>
      <c r="Q8" s="22">
        <f>Tabelle3[[#This Row],[Mythen (€)]]/Tabelle3[[#This Row],[Mythen (Backer)]]</f>
        <v>170.35955056179776</v>
      </c>
      <c r="R8" s="3">
        <v>127604</v>
      </c>
      <c r="S8" s="3">
        <v>891</v>
      </c>
      <c r="T8" s="22">
        <f>Tabelle3[[#This Row],[SOK (€)]]/Tabelle3[[#This Row],[SOK (Backer)]]</f>
        <v>143.21436588103253</v>
      </c>
      <c r="U8" s="3">
        <v>123834</v>
      </c>
      <c r="V8" s="3">
        <v>520</v>
      </c>
      <c r="W8" s="22">
        <f>Tabelle3[[#This Row],[RE (€)]]/Tabelle3[[#This Row],[RE (Backer)]]</f>
        <v>238.1423076923077</v>
      </c>
      <c r="X8" s="3">
        <v>117325</v>
      </c>
      <c r="Y8" s="3">
        <v>486</v>
      </c>
      <c r="Z8" s="22">
        <f>Tabelle3[[#This Row],[DGG (€)]]/Tabelle3[[#This Row],[DGG (Backer)]]</f>
        <v>241.40946502057614</v>
      </c>
      <c r="AA8" s="3">
        <v>41597</v>
      </c>
      <c r="AB8" s="3">
        <v>218</v>
      </c>
      <c r="AC8" s="22">
        <f>Tabelle3[[#This Row],[DSK SV (€)]]/Tabelle3[[#This Row],[DSK SV (Backer)]]</f>
        <v>190.8119266055046</v>
      </c>
      <c r="AD8" s="3">
        <v>156839</v>
      </c>
      <c r="AE8" s="3">
        <v>797</v>
      </c>
      <c r="AF8" s="22">
        <f>Tabelle3[[#This Row],[WW (€)]]/Tabelle3[[#This Row],[WW (Backer)]]</f>
        <v>196.7867001254705</v>
      </c>
      <c r="AG8" s="3">
        <v>14235</v>
      </c>
      <c r="AH8" s="3">
        <v>110</v>
      </c>
      <c r="AI8" s="22">
        <f>Tabelle3[[#This Row],[DSK R (€)]]/Tabelle3[[#This Row],[DSK R (Backer)]]</f>
        <v>129.40909090909091</v>
      </c>
      <c r="AJ8" s="3">
        <v>69834</v>
      </c>
      <c r="AK8" s="3">
        <v>323</v>
      </c>
      <c r="AL8" s="22">
        <f>Tabelle3[[#This Row],[Ära (€)]]/Tabelle3[[#This Row],[Ära (Backer)]]</f>
        <v>216.20433436532508</v>
      </c>
      <c r="AM8" s="184">
        <f>'Übersicht &amp; Anleitung'!AS54</f>
        <v>43256</v>
      </c>
      <c r="AN8" s="184">
        <f>'Übersicht &amp; Anleitung'!AT54</f>
        <v>585</v>
      </c>
      <c r="AO8" s="22">
        <f>Tabelle3[[#This Row],[Mosaik (€)]]/Tabelle3[[#This Row],[Mosaik (Backer)]]</f>
        <v>73.941880341880335</v>
      </c>
      <c r="AZ8" s="424" t="s">
        <v>89</v>
      </c>
      <c r="BA8" s="6">
        <f t="shared" si="0"/>
        <v>81043.812983919008</v>
      </c>
      <c r="BB8" s="6">
        <f t="shared" si="1"/>
        <v>1092.5252525252524</v>
      </c>
      <c r="BC8" s="23">
        <f t="shared" si="19"/>
        <v>74.180265212721736</v>
      </c>
      <c r="BD8" s="6">
        <f t="shared" si="2"/>
        <v>154369.17638972419</v>
      </c>
      <c r="BE8" s="6">
        <f t="shared" si="3"/>
        <v>2136.7894736842104</v>
      </c>
      <c r="BF8" s="23">
        <f t="shared" si="20"/>
        <v>72.24351219007265</v>
      </c>
      <c r="BG8" s="3">
        <f t="shared" si="4"/>
        <v>117706.49468682159</v>
      </c>
      <c r="BH8" s="3">
        <f t="shared" si="5"/>
        <v>1614.6573631047313</v>
      </c>
      <c r="BI8" s="23">
        <f t="shared" si="21"/>
        <v>72.898744573579734</v>
      </c>
      <c r="BJ8" s="3">
        <f t="shared" si="22"/>
        <v>116580.26219978282</v>
      </c>
      <c r="BK8" s="3">
        <f t="shared" si="23"/>
        <v>1554.473296008613</v>
      </c>
      <c r="BL8" s="23">
        <f t="shared" si="24"/>
        <v>74.996632299263936</v>
      </c>
      <c r="BN8" s="216" t="s">
        <v>89</v>
      </c>
      <c r="BO8" s="16">
        <f t="shared" si="47"/>
        <v>1.8735854675402026</v>
      </c>
      <c r="BP8" s="16">
        <f t="shared" si="48"/>
        <v>1.8675645342312008</v>
      </c>
      <c r="BQ8" s="397">
        <f t="shared" si="49"/>
        <v>3.568734427356302</v>
      </c>
      <c r="BR8" s="397">
        <f t="shared" si="50"/>
        <v>3.6526315789473682</v>
      </c>
      <c r="BS8" s="397">
        <f t="shared" si="51"/>
        <v>2.6951235019369064</v>
      </c>
      <c r="BT8" s="397">
        <f t="shared" si="52"/>
        <v>2.6572193094164325</v>
      </c>
      <c r="BU8" s="17">
        <f t="shared" si="6"/>
        <v>3.301996716275621</v>
      </c>
      <c r="BV8" s="7">
        <f t="shared" si="7"/>
        <v>3.6526315789473682</v>
      </c>
      <c r="BW8" s="28"/>
      <c r="BX8" s="32"/>
      <c r="BY8" s="12">
        <f t="shared" si="25"/>
        <v>2.8467721761753082</v>
      </c>
      <c r="BZ8" s="13">
        <f t="shared" si="26"/>
        <v>3.0607287449392713</v>
      </c>
      <c r="CA8" s="12">
        <f t="shared" si="27"/>
        <v>2.5792689284150385</v>
      </c>
      <c r="CB8" s="29">
        <f t="shared" si="28"/>
        <v>2.4924242424242422</v>
      </c>
      <c r="CC8" s="12">
        <f t="shared" si="29"/>
        <v>2.9676493866244558</v>
      </c>
      <c r="CD8" s="29">
        <f t="shared" si="30"/>
        <v>2.792134831460674</v>
      </c>
      <c r="CE8" s="12">
        <f t="shared" si="31"/>
        <v>1.8735854675402026</v>
      </c>
      <c r="CF8" s="29">
        <f t="shared" si="32"/>
        <v>1.8675645342312008</v>
      </c>
      <c r="CG8" s="12">
        <f t="shared" si="33"/>
        <v>3.1534715829255293</v>
      </c>
      <c r="CH8" s="29">
        <f t="shared" si="34"/>
        <v>3.1884615384615387</v>
      </c>
      <c r="CI8" s="12">
        <f t="shared" si="35"/>
        <v>1.9725548689537609</v>
      </c>
      <c r="CJ8" s="29">
        <f t="shared" si="36"/>
        <v>2.0061728395061729</v>
      </c>
      <c r="CK8" s="12">
        <f t="shared" si="37"/>
        <v>2.7673389907926054</v>
      </c>
      <c r="CL8" s="29">
        <f t="shared" si="38"/>
        <v>2.9587155963302751</v>
      </c>
      <c r="CM8" s="12">
        <f t="shared" si="39"/>
        <v>2.0685862572446903</v>
      </c>
      <c r="CN8" s="29">
        <f t="shared" si="40"/>
        <v>2.107904642409034</v>
      </c>
      <c r="CO8" s="12">
        <f t="shared" si="41"/>
        <v>2.5463997190024585</v>
      </c>
      <c r="CP8" s="29">
        <f t="shared" si="42"/>
        <v>2.4454545454545453</v>
      </c>
      <c r="CQ8" s="12">
        <f t="shared" si="43"/>
        <v>3.568734427356302</v>
      </c>
      <c r="CR8" s="29">
        <f t="shared" si="44"/>
        <v>3.51702786377709</v>
      </c>
      <c r="CS8" s="18"/>
      <c r="CT8" s="20">
        <f t="shared" si="8"/>
        <v>-0.35063486267174726</v>
      </c>
      <c r="CU8" s="33"/>
      <c r="CV8" s="34"/>
      <c r="CW8" s="30"/>
      <c r="CX8" s="31">
        <f t="shared" si="9"/>
        <v>-0.21395656876396307</v>
      </c>
      <c r="CY8" s="21"/>
      <c r="CZ8" s="19">
        <f t="shared" si="10"/>
        <v>8.6844685990796311E-2</v>
      </c>
      <c r="DA8" s="21"/>
      <c r="DB8" s="19">
        <f t="shared" si="11"/>
        <v>0.17551455516378178</v>
      </c>
      <c r="DC8" s="21"/>
      <c r="DD8" s="19">
        <f t="shared" si="12"/>
        <v>6.0209333090017747E-3</v>
      </c>
      <c r="DE8" s="21"/>
      <c r="DF8" s="19">
        <f t="shared" si="13"/>
        <v>-3.4989955536009365E-2</v>
      </c>
      <c r="DG8" s="21"/>
      <c r="DH8" s="19">
        <f t="shared" si="14"/>
        <v>-3.3617970552412002E-2</v>
      </c>
      <c r="DI8" s="21"/>
      <c r="DJ8" s="19">
        <f t="shared" si="15"/>
        <v>-0.19137660553766978</v>
      </c>
      <c r="DK8" s="21"/>
      <c r="DL8" s="19">
        <f t="shared" si="16"/>
        <v>-3.9318385164343717E-2</v>
      </c>
      <c r="DM8" s="21"/>
      <c r="DN8" s="19">
        <f t="shared" si="17"/>
        <v>0.10094517354791321</v>
      </c>
      <c r="DO8" s="21"/>
      <c r="DP8" s="19">
        <f t="shared" si="18"/>
        <v>5.1706563579211995E-2</v>
      </c>
    </row>
    <row r="9" spans="1:120" ht="15.75" outlineLevel="1" thickBot="1" x14ac:dyDescent="0.3">
      <c r="A9" s="14">
        <v>5</v>
      </c>
      <c r="B9" s="3">
        <v>21886</v>
      </c>
      <c r="C9" s="3">
        <v>111</v>
      </c>
      <c r="D9" s="22">
        <f>IFERROR(Tabelle3[[#This Row],[Ned (€)]]/Tabelle3[[#This Row],[Ned (Backer)]],"")</f>
        <v>197.17117117117118</v>
      </c>
      <c r="E9" s="8">
        <f t="shared" ref="E9:E24" si="53">E8+($E$25-$E$7)/18</f>
        <v>54200.777777777781</v>
      </c>
      <c r="F9" s="8">
        <f t="shared" ref="F9:F24" si="54">F8+($F$25-$F$7)/18</f>
        <v>345.66666666666663</v>
      </c>
      <c r="G9" s="8">
        <f t="shared" si="45"/>
        <v>89000</v>
      </c>
      <c r="H9" s="8">
        <f t="shared" si="46"/>
        <v>660</v>
      </c>
      <c r="I9" s="3">
        <v>63115</v>
      </c>
      <c r="J9" s="3">
        <v>264</v>
      </c>
      <c r="K9" s="22">
        <f>Tabelle3[[#This Row],[Werkzeuge (€)]]/Tabelle3[[#This Row],[Werkzeuge (Backer)]]</f>
        <v>239.07196969696969</v>
      </c>
      <c r="L9" s="3">
        <v>50763</v>
      </c>
      <c r="M9" s="3">
        <v>280</v>
      </c>
      <c r="N9" s="22">
        <f>Tabelle3[[#This Row],[DSK Fasar (€)]]/Tabelle3[[#This Row],[DSK Fasar (Backer)]]</f>
        <v>181.29642857142858</v>
      </c>
      <c r="O9" s="3">
        <v>32621</v>
      </c>
      <c r="P9" s="3">
        <v>191</v>
      </c>
      <c r="Q9" s="22">
        <f>Tabelle3[[#This Row],[Mythen (€)]]/Tabelle3[[#This Row],[Mythen (Backer)]]</f>
        <v>170.79057591623035</v>
      </c>
      <c r="R9" s="3">
        <v>131274</v>
      </c>
      <c r="S9" s="3">
        <v>918</v>
      </c>
      <c r="T9" s="22">
        <f>Tabelle3[[#This Row],[SOK (€)]]/Tabelle3[[#This Row],[SOK (Backer)]]</f>
        <v>143</v>
      </c>
      <c r="U9" s="3">
        <v>132002</v>
      </c>
      <c r="V9" s="3">
        <v>564</v>
      </c>
      <c r="W9" s="22">
        <f>Tabelle3[[#This Row],[RE (€)]]/Tabelle3[[#This Row],[RE (Backer)]]</f>
        <v>234.04609929078015</v>
      </c>
      <c r="X9" s="3">
        <v>120368</v>
      </c>
      <c r="Y9" s="3">
        <v>497</v>
      </c>
      <c r="Z9" s="22">
        <f>Tabelle3[[#This Row],[DGG (€)]]/Tabelle3[[#This Row],[DGG (Backer)]]</f>
        <v>242.18913480885311</v>
      </c>
      <c r="AA9" s="3">
        <v>44358</v>
      </c>
      <c r="AB9" s="3">
        <v>235</v>
      </c>
      <c r="AC9" s="22">
        <f>Tabelle3[[#This Row],[DSK SV (€)]]/Tabelle3[[#This Row],[DSK SV (Backer)]]</f>
        <v>188.75744680851065</v>
      </c>
      <c r="AD9" s="3">
        <v>166947</v>
      </c>
      <c r="AE9" s="3">
        <v>847</v>
      </c>
      <c r="AF9" s="22">
        <f>Tabelle3[[#This Row],[WW (€)]]/Tabelle3[[#This Row],[WW (Backer)]]</f>
        <v>197.10389610389609</v>
      </c>
      <c r="AG9" s="3">
        <v>15015</v>
      </c>
      <c r="AH9" s="3">
        <v>116</v>
      </c>
      <c r="AI9" s="22">
        <f>Tabelle3[[#This Row],[DSK R (€)]]/Tabelle3[[#This Row],[DSK R (Backer)]]</f>
        <v>129.43965517241378</v>
      </c>
      <c r="AJ9" s="3">
        <v>75551</v>
      </c>
      <c r="AK9" s="3">
        <v>351</v>
      </c>
      <c r="AL9" s="22">
        <f>Tabelle3[[#This Row],[Ära (€)]]/Tabelle3[[#This Row],[Ära (Backer)]]</f>
        <v>215.24501424501423</v>
      </c>
      <c r="AM9" s="184">
        <f>'Übersicht &amp; Anleitung'!AS55</f>
        <v>44966</v>
      </c>
      <c r="AN9" s="184">
        <f>'Übersicht &amp; Anleitung'!AT55</f>
        <v>611</v>
      </c>
      <c r="AO9" s="22">
        <f>Tabelle3[[#This Row],[Mosaik (€)]]/Tabelle3[[#This Row],[Mosaik (Backer)]]</f>
        <v>73.594108019639933</v>
      </c>
      <c r="AY9" s="216"/>
      <c r="AZ9" s="424" t="s">
        <v>90</v>
      </c>
      <c r="BA9" s="6">
        <f t="shared" si="0"/>
        <v>81892.350214056103</v>
      </c>
      <c r="BB9" s="6">
        <f t="shared" si="1"/>
        <v>1107.520697167756</v>
      </c>
      <c r="BC9" s="23">
        <f t="shared" si="19"/>
        <v>73.942049501628304</v>
      </c>
      <c r="BD9" s="6">
        <f t="shared" si="2"/>
        <v>148328.69920980529</v>
      </c>
      <c r="BE9" s="6">
        <f t="shared" si="3"/>
        <v>1977.4814814814815</v>
      </c>
      <c r="BF9" s="23">
        <f t="shared" si="20"/>
        <v>75.008894191353434</v>
      </c>
      <c r="BG9" s="3">
        <f t="shared" si="4"/>
        <v>115110.52471193069</v>
      </c>
      <c r="BH9" s="3">
        <f t="shared" si="5"/>
        <v>1542.5010893246188</v>
      </c>
      <c r="BI9" s="23">
        <f t="shared" si="21"/>
        <v>74.625895248042653</v>
      </c>
      <c r="BJ9" s="3">
        <f t="shared" si="22"/>
        <v>113241.05508504932</v>
      </c>
      <c r="BK9" s="3">
        <f t="shared" si="23"/>
        <v>1509.3592434818543</v>
      </c>
      <c r="BL9" s="23">
        <f t="shared" si="24"/>
        <v>75.025912866058334</v>
      </c>
      <c r="BM9" s="216"/>
      <c r="BN9" s="216" t="s">
        <v>90</v>
      </c>
      <c r="BO9" s="16">
        <f t="shared" si="47"/>
        <v>1.8212060270883801</v>
      </c>
      <c r="BP9" s="16">
        <f t="shared" si="48"/>
        <v>1.812636165577342</v>
      </c>
      <c r="BQ9" s="397">
        <f t="shared" si="49"/>
        <v>3.2986856560469087</v>
      </c>
      <c r="BR9" s="397">
        <f t="shared" si="50"/>
        <v>3.2364672364672367</v>
      </c>
      <c r="BS9" s="397">
        <f t="shared" si="51"/>
        <v>2.5183706597217745</v>
      </c>
      <c r="BT9" s="397">
        <f t="shared" si="52"/>
        <v>2.4703097274662098</v>
      </c>
      <c r="BU9" s="17">
        <f t="shared" si="6"/>
        <v>2.8486246915836606</v>
      </c>
      <c r="BV9" s="7">
        <f t="shared" si="7"/>
        <v>3.1261261261261262</v>
      </c>
      <c r="BW9" s="28"/>
      <c r="BX9" s="32"/>
      <c r="BY9" s="12">
        <f t="shared" si="25"/>
        <v>2.7046027093400933</v>
      </c>
      <c r="BZ9" s="13">
        <f t="shared" si="26"/>
        <v>2.8636363636363638</v>
      </c>
      <c r="CA9" s="12">
        <f t="shared" si="27"/>
        <v>2.4366960187538167</v>
      </c>
      <c r="CB9" s="29">
        <f t="shared" si="28"/>
        <v>2.35</v>
      </c>
      <c r="CC9" s="12">
        <f t="shared" si="29"/>
        <v>2.7586830569265199</v>
      </c>
      <c r="CD9" s="29">
        <f t="shared" si="30"/>
        <v>2.6020942408376961</v>
      </c>
      <c r="CE9" s="12">
        <f t="shared" si="31"/>
        <v>1.8212060270883801</v>
      </c>
      <c r="CF9" s="29">
        <f t="shared" si="32"/>
        <v>1.812636165577342</v>
      </c>
      <c r="CG9" s="12">
        <f t="shared" si="33"/>
        <v>2.9583415402796929</v>
      </c>
      <c r="CH9" s="29">
        <f t="shared" si="34"/>
        <v>2.9397163120567376</v>
      </c>
      <c r="CI9" s="12">
        <f t="shared" si="35"/>
        <v>1.9226870929150606</v>
      </c>
      <c r="CJ9" s="29">
        <f t="shared" si="36"/>
        <v>1.9617706237424548</v>
      </c>
      <c r="CK9" s="12">
        <f t="shared" si="37"/>
        <v>2.5950899499526581</v>
      </c>
      <c r="CL9" s="29">
        <f t="shared" si="38"/>
        <v>2.7446808510638299</v>
      </c>
      <c r="CM9" s="12">
        <f t="shared" si="39"/>
        <v>1.9433412999335118</v>
      </c>
      <c r="CN9" s="29">
        <f t="shared" si="40"/>
        <v>1.9834710743801653</v>
      </c>
      <c r="CO9" s="12">
        <f t="shared" si="41"/>
        <v>2.4141192141192143</v>
      </c>
      <c r="CP9" s="29">
        <f t="shared" si="42"/>
        <v>2.3189655172413794</v>
      </c>
      <c r="CQ9" s="12">
        <f t="shared" si="43"/>
        <v>3.2986856560469087</v>
      </c>
      <c r="CR9" s="29">
        <f t="shared" si="44"/>
        <v>3.2364672364672367</v>
      </c>
      <c r="CS9" s="18"/>
      <c r="CT9" s="20">
        <f t="shared" si="8"/>
        <v>-0.27750143454246556</v>
      </c>
      <c r="CU9" s="33"/>
      <c r="CV9" s="34"/>
      <c r="CW9" s="30"/>
      <c r="CX9" s="31">
        <f t="shared" si="9"/>
        <v>-0.15903365429627048</v>
      </c>
      <c r="CY9" s="21"/>
      <c r="CZ9" s="19">
        <f t="shared" si="10"/>
        <v>8.6696018753816606E-2</v>
      </c>
      <c r="DA9" s="21"/>
      <c r="DB9" s="19">
        <f t="shared" si="11"/>
        <v>0.1565888160888238</v>
      </c>
      <c r="DC9" s="21"/>
      <c r="DD9" s="19">
        <f t="shared" si="12"/>
        <v>8.5698615110381127E-3</v>
      </c>
      <c r="DE9" s="21"/>
      <c r="DF9" s="19">
        <f t="shared" si="13"/>
        <v>1.8625228222955315E-2</v>
      </c>
      <c r="DG9" s="21"/>
      <c r="DH9" s="19">
        <f t="shared" si="14"/>
        <v>-3.9083530827394242E-2</v>
      </c>
      <c r="DI9" s="21"/>
      <c r="DJ9" s="19">
        <f t="shared" si="15"/>
        <v>-0.14959090111117179</v>
      </c>
      <c r="DK9" s="21"/>
      <c r="DL9" s="19">
        <f t="shared" si="16"/>
        <v>-4.0129774446653554E-2</v>
      </c>
      <c r="DM9" s="21"/>
      <c r="DN9" s="19">
        <f t="shared" si="17"/>
        <v>9.5153696877834815E-2</v>
      </c>
      <c r="DO9" s="21"/>
      <c r="DP9" s="19">
        <f t="shared" si="18"/>
        <v>6.2218419579672002E-2</v>
      </c>
    </row>
    <row r="10" spans="1:120" ht="15.75" outlineLevel="1" thickBot="1" x14ac:dyDescent="0.3">
      <c r="A10" s="14">
        <v>6</v>
      </c>
      <c r="B10" s="3">
        <v>22571</v>
      </c>
      <c r="C10" s="3">
        <v>114.99999999999999</v>
      </c>
      <c r="D10" s="22">
        <f>IFERROR(Tabelle3[[#This Row],[Ned (€)]]/Tabelle3[[#This Row],[Ned (Backer)]],"")</f>
        <v>196.26956521739132</v>
      </c>
      <c r="E10" s="8">
        <f t="shared" si="53"/>
        <v>58301.166666666672</v>
      </c>
      <c r="F10" s="8">
        <f t="shared" si="54"/>
        <v>368.49999999999994</v>
      </c>
      <c r="G10" s="8">
        <f t="shared" si="45"/>
        <v>95000</v>
      </c>
      <c r="H10" s="8">
        <f t="shared" si="46"/>
        <v>700</v>
      </c>
      <c r="I10" s="3">
        <v>65148</v>
      </c>
      <c r="J10" s="3">
        <v>274</v>
      </c>
      <c r="K10" s="22">
        <f>Tabelle3[[#This Row],[Werkzeuge (€)]]/Tabelle3[[#This Row],[Werkzeuge (Backer)]]</f>
        <v>237.76642335766422</v>
      </c>
      <c r="L10" s="3">
        <v>53829</v>
      </c>
      <c r="M10" s="3">
        <v>294</v>
      </c>
      <c r="N10" s="564">
        <f>Tabelle3[[#This Row],[DSK Fasar (€)]]/Tabelle3[[#This Row],[DSK Fasar (Backer)]]</f>
        <v>183.09183673469389</v>
      </c>
      <c r="O10" s="3">
        <v>37481</v>
      </c>
      <c r="P10" s="3">
        <v>220</v>
      </c>
      <c r="Q10" s="22">
        <f>Tabelle3[[#This Row],[Mythen (€)]]/Tabelle3[[#This Row],[Mythen (Backer)]]</f>
        <v>170.36818181818182</v>
      </c>
      <c r="R10" s="3">
        <v>135593</v>
      </c>
      <c r="S10" s="3">
        <v>953</v>
      </c>
      <c r="T10" s="22">
        <f>Tabelle3[[#This Row],[SOK (€)]]/Tabelle3[[#This Row],[SOK (Backer)]]</f>
        <v>142.28016789087093</v>
      </c>
      <c r="U10" s="3">
        <v>150957</v>
      </c>
      <c r="V10" s="3">
        <v>652</v>
      </c>
      <c r="W10" s="22">
        <f>Tabelle3[[#This Row],[RE (€)]]/Tabelle3[[#This Row],[RE (Backer)]]</f>
        <v>231.52914110429447</v>
      </c>
      <c r="X10" s="3">
        <v>123198</v>
      </c>
      <c r="Y10" s="3">
        <v>508</v>
      </c>
      <c r="Z10" s="22">
        <f>Tabelle3[[#This Row],[DGG (€)]]/Tabelle3[[#This Row],[DGG (Backer)]]</f>
        <v>242.51574803149606</v>
      </c>
      <c r="AA10" s="3">
        <v>45558</v>
      </c>
      <c r="AB10" s="3">
        <v>241</v>
      </c>
      <c r="AC10" s="22">
        <f>Tabelle3[[#This Row],[DSK SV (€)]]/Tabelle3[[#This Row],[DSK SV (Backer)]]</f>
        <v>189.03734439834025</v>
      </c>
      <c r="AD10" s="3">
        <v>175946</v>
      </c>
      <c r="AE10" s="3">
        <v>901</v>
      </c>
      <c r="AF10" s="22">
        <f>Tabelle3[[#This Row],[WW (€)]]/Tabelle3[[#This Row],[WW (Backer)]]</f>
        <v>195.2785793562708</v>
      </c>
      <c r="AG10" s="3">
        <v>16237</v>
      </c>
      <c r="AH10" s="3">
        <v>123</v>
      </c>
      <c r="AI10" s="564">
        <f>Tabelle3[[#This Row],[DSK R (€)]]/Tabelle3[[#This Row],[DSK R (Backer)]]</f>
        <v>132.00813008130081</v>
      </c>
      <c r="AJ10" s="3">
        <v>85403</v>
      </c>
      <c r="AK10" s="3">
        <v>395</v>
      </c>
      <c r="AL10" s="564">
        <f>Tabelle3[[#This Row],[Ära (€)]]/Tabelle3[[#This Row],[Ära (Backer)]]</f>
        <v>216.21012658227849</v>
      </c>
      <c r="AM10" s="184">
        <f>'Übersicht &amp; Anleitung'!AS56</f>
        <v>46520</v>
      </c>
      <c r="AN10" s="184">
        <f>'Übersicht &amp; Anleitung'!AT56</f>
        <v>633</v>
      </c>
      <c r="AO10" s="22">
        <f>Tabelle3[[#This Row],[Mosaik (€)]]/Tabelle3[[#This Row],[Mosaik (Backer)]]</f>
        <v>73.491311216429693</v>
      </c>
      <c r="AZ10" s="424" t="s">
        <v>91</v>
      </c>
      <c r="BA10" s="6">
        <f t="shared" si="0"/>
        <v>82023.86583378198</v>
      </c>
      <c r="BB10" s="6">
        <f t="shared" si="1"/>
        <v>1105.2591815320043</v>
      </c>
      <c r="BC10" s="23">
        <f t="shared" si="19"/>
        <v>74.212336078573315</v>
      </c>
      <c r="BD10" s="6">
        <f t="shared" si="2"/>
        <v>135752.46630680421</v>
      </c>
      <c r="BE10" s="6">
        <f t="shared" si="3"/>
        <v>1910.0086956521741</v>
      </c>
      <c r="BF10" s="23">
        <f t="shared" si="20"/>
        <v>71.07426610979455</v>
      </c>
      <c r="BG10" s="3">
        <f t="shared" si="4"/>
        <v>108888.1660702931</v>
      </c>
      <c r="BH10" s="3">
        <f t="shared" si="5"/>
        <v>1507.6339385920892</v>
      </c>
      <c r="BI10" s="23">
        <f t="shared" si="21"/>
        <v>72.224538916906326</v>
      </c>
      <c r="BJ10" s="3">
        <f t="shared" si="22"/>
        <v>109242.1439015754</v>
      </c>
      <c r="BK10" s="3">
        <f t="shared" si="23"/>
        <v>1469.189077482228</v>
      </c>
      <c r="BL10" s="23">
        <f t="shared" si="24"/>
        <v>74.355401612966901</v>
      </c>
      <c r="BN10" s="216" t="s">
        <v>91</v>
      </c>
      <c r="BO10" s="16">
        <f t="shared" si="47"/>
        <v>1.7631957401930778</v>
      </c>
      <c r="BP10" s="16">
        <f t="shared" si="48"/>
        <v>1.746065057712487</v>
      </c>
      <c r="BQ10" s="397">
        <f t="shared" si="49"/>
        <v>2.9181527580998328</v>
      </c>
      <c r="BR10" s="397">
        <f t="shared" si="50"/>
        <v>3.0173913043478264</v>
      </c>
      <c r="BS10" s="397">
        <f t="shared" si="51"/>
        <v>2.3482834028713544</v>
      </c>
      <c r="BT10" s="397">
        <f t="shared" si="52"/>
        <v>2.3209938032894595</v>
      </c>
      <c r="BU10" s="17">
        <f t="shared" si="6"/>
        <v>2.7621726994816358</v>
      </c>
      <c r="BV10" s="7">
        <f t="shared" si="7"/>
        <v>3.0173913043478264</v>
      </c>
      <c r="BW10" s="28"/>
      <c r="BX10" s="32"/>
      <c r="BY10" s="12">
        <f t="shared" si="25"/>
        <v>2.6202032295695954</v>
      </c>
      <c r="BZ10" s="13">
        <f t="shared" si="26"/>
        <v>2.7591240875912408</v>
      </c>
      <c r="CA10" s="12">
        <f t="shared" si="27"/>
        <v>2.2979063330175182</v>
      </c>
      <c r="CB10" s="29">
        <f t="shared" si="28"/>
        <v>2.2380952380952381</v>
      </c>
      <c r="CC10" s="12">
        <f t="shared" si="29"/>
        <v>2.4009764947573435</v>
      </c>
      <c r="CD10" s="29">
        <f t="shared" si="30"/>
        <v>2.2590909090909093</v>
      </c>
      <c r="CE10" s="12">
        <f t="shared" si="31"/>
        <v>1.7631957401930778</v>
      </c>
      <c r="CF10" s="29">
        <f t="shared" si="32"/>
        <v>1.746065057712487</v>
      </c>
      <c r="CG10" s="12">
        <f t="shared" si="33"/>
        <v>2.5868757328245793</v>
      </c>
      <c r="CH10" s="29">
        <f t="shared" si="34"/>
        <v>2.5429447852760738</v>
      </c>
      <c r="CI10" s="12">
        <f t="shared" si="35"/>
        <v>1.8785207552070651</v>
      </c>
      <c r="CJ10" s="29">
        <f t="shared" si="36"/>
        <v>1.9192913385826771</v>
      </c>
      <c r="CK10" s="12">
        <f t="shared" si="37"/>
        <v>2.5267351507967866</v>
      </c>
      <c r="CL10" s="29">
        <f t="shared" si="38"/>
        <v>2.6763485477178421</v>
      </c>
      <c r="CM10" s="12">
        <f t="shared" si="39"/>
        <v>1.8439464381116935</v>
      </c>
      <c r="CN10" s="29">
        <f t="shared" si="40"/>
        <v>1.8645948945615982</v>
      </c>
      <c r="CO10" s="12">
        <f t="shared" si="41"/>
        <v>2.2324320995257745</v>
      </c>
      <c r="CP10" s="29">
        <f t="shared" si="42"/>
        <v>2.1869918699186992</v>
      </c>
      <c r="CQ10" s="12">
        <f t="shared" si="43"/>
        <v>2.9181527580998328</v>
      </c>
      <c r="CR10" s="29">
        <f t="shared" si="44"/>
        <v>2.8759493670886074</v>
      </c>
      <c r="CS10" s="18"/>
      <c r="CT10" s="20">
        <f t="shared" si="8"/>
        <v>-0.25521860486619063</v>
      </c>
      <c r="CU10" s="33"/>
      <c r="CV10" s="34"/>
      <c r="CW10" s="30"/>
      <c r="CX10" s="31">
        <f t="shared" si="9"/>
        <v>-0.13892085802164544</v>
      </c>
      <c r="CY10" s="21"/>
      <c r="CZ10" s="19">
        <f t="shared" si="10"/>
        <v>5.9811094922280095E-2</v>
      </c>
      <c r="DA10" s="21"/>
      <c r="DB10" s="19">
        <f t="shared" si="11"/>
        <v>0.14188558566643428</v>
      </c>
      <c r="DC10" s="21"/>
      <c r="DD10" s="19">
        <f t="shared" si="12"/>
        <v>1.7130682480590798E-2</v>
      </c>
      <c r="DE10" s="21"/>
      <c r="DF10" s="19">
        <f t="shared" si="13"/>
        <v>4.3930947548505461E-2</v>
      </c>
      <c r="DG10" s="21"/>
      <c r="DH10" s="19">
        <f t="shared" si="14"/>
        <v>-4.0770583375612013E-2</v>
      </c>
      <c r="DI10" s="21"/>
      <c r="DJ10" s="19">
        <f t="shared" si="15"/>
        <v>-0.14961339692105557</v>
      </c>
      <c r="DK10" s="21"/>
      <c r="DL10" s="19">
        <f t="shared" si="16"/>
        <v>-2.0648456449904762E-2</v>
      </c>
      <c r="DM10" s="21"/>
      <c r="DN10" s="19">
        <f t="shared" si="17"/>
        <v>4.5440229607075278E-2</v>
      </c>
      <c r="DO10" s="21"/>
      <c r="DP10" s="19">
        <f t="shared" si="18"/>
        <v>4.2203391011225388E-2</v>
      </c>
    </row>
    <row r="11" spans="1:120" ht="15.75" outlineLevel="1" thickBot="1" x14ac:dyDescent="0.3">
      <c r="A11" s="14">
        <v>7</v>
      </c>
      <c r="B11" s="3">
        <v>24180</v>
      </c>
      <c r="C11" s="3">
        <v>124</v>
      </c>
      <c r="D11" s="22">
        <f>IFERROR(Tabelle3[[#This Row],[Ned (€)]]/Tabelle3[[#This Row],[Ned (Backer)]],"")</f>
        <v>195</v>
      </c>
      <c r="E11" s="8">
        <f t="shared" si="53"/>
        <v>62401.555555555562</v>
      </c>
      <c r="F11" s="8">
        <f t="shared" si="54"/>
        <v>391.33333333333326</v>
      </c>
      <c r="G11" s="8">
        <f t="shared" si="45"/>
        <v>101000</v>
      </c>
      <c r="H11" s="8">
        <f t="shared" si="46"/>
        <v>740</v>
      </c>
      <c r="I11" s="3">
        <v>69623</v>
      </c>
      <c r="J11" s="3">
        <v>295</v>
      </c>
      <c r="K11" s="22">
        <f>Tabelle3[[#This Row],[Werkzeuge (€)]]/Tabelle3[[#This Row],[Werkzeuge (Backer)]]</f>
        <v>236.01016949152543</v>
      </c>
      <c r="L11" s="3">
        <v>55981</v>
      </c>
      <c r="M11" s="3">
        <v>308</v>
      </c>
      <c r="N11" s="22">
        <f>Tabelle3[[#This Row],[DSK Fasar (€)]]/Tabelle3[[#This Row],[DSK Fasar (Backer)]]</f>
        <v>181.75649350649351</v>
      </c>
      <c r="O11" s="3">
        <v>40223</v>
      </c>
      <c r="P11" s="3">
        <v>236</v>
      </c>
      <c r="Q11" s="22">
        <f>Tabelle3[[#This Row],[Mythen (€)]]/Tabelle3[[#This Row],[Mythen (Backer)]]</f>
        <v>170.43644067796609</v>
      </c>
      <c r="R11" s="3">
        <v>147297</v>
      </c>
      <c r="S11" s="3">
        <v>1044</v>
      </c>
      <c r="T11" s="22">
        <f>Tabelle3[[#This Row],[SOK (€)]]/Tabelle3[[#This Row],[SOK (Backer)]]</f>
        <v>141.08908045977012</v>
      </c>
      <c r="U11" s="3">
        <v>164491</v>
      </c>
      <c r="V11" s="3">
        <v>709</v>
      </c>
      <c r="W11" s="22">
        <f>Tabelle3[[#This Row],[RE (€)]]/Tabelle3[[#This Row],[RE (Backer)]]</f>
        <v>232.00423131170663</v>
      </c>
      <c r="X11" s="3">
        <v>126713</v>
      </c>
      <c r="Y11" s="3">
        <v>523</v>
      </c>
      <c r="Z11" s="22">
        <f>Tabelle3[[#This Row],[DGG (€)]]/Tabelle3[[#This Row],[DGG (Backer)]]</f>
        <v>242.28107074569789</v>
      </c>
      <c r="AA11" s="3">
        <v>50019</v>
      </c>
      <c r="AB11" s="3">
        <v>262</v>
      </c>
      <c r="AC11" s="564">
        <f>Tabelle3[[#This Row],[DSK SV (€)]]/Tabelle3[[#This Row],[DSK SV (Backer)]]</f>
        <v>190.91221374045801</v>
      </c>
      <c r="AD11" s="3">
        <v>184883</v>
      </c>
      <c r="AE11" s="3">
        <v>953</v>
      </c>
      <c r="AF11" s="22">
        <f>Tabelle3[[#This Row],[WW (€)]]/Tabelle3[[#This Row],[WW (Backer)]]</f>
        <v>194.00104931794334</v>
      </c>
      <c r="AG11" s="3">
        <v>16727</v>
      </c>
      <c r="AH11" s="3">
        <v>127</v>
      </c>
      <c r="AI11" s="22">
        <f>Tabelle3[[#This Row],[DSK R (€)]]/Tabelle3[[#This Row],[DSK R (Backer)]]</f>
        <v>131.70866141732284</v>
      </c>
      <c r="AJ11" s="3">
        <v>94449</v>
      </c>
      <c r="AK11" s="3">
        <v>435</v>
      </c>
      <c r="AL11" s="22">
        <f>Tabelle3[[#This Row],[Ära (€)]]/Tabelle3[[#This Row],[Ära (Backer)]]</f>
        <v>217.12413793103448</v>
      </c>
      <c r="AM11" s="184">
        <f>'Übersicht &amp; Anleitung'!AS57</f>
        <v>48572</v>
      </c>
      <c r="AN11" s="184">
        <f>'Übersicht &amp; Anleitung'!AT57</f>
        <v>661</v>
      </c>
      <c r="AO11" s="22">
        <f>Tabelle3[[#This Row],[Mosaik (€)]]/Tabelle3[[#This Row],[Mosaik (Backer)]]</f>
        <v>73.48260211800303</v>
      </c>
      <c r="AZ11" s="424" t="s">
        <v>92</v>
      </c>
      <c r="BA11" s="6">
        <f t="shared" si="0"/>
        <v>78836.962354969888</v>
      </c>
      <c r="BB11" s="6">
        <f t="shared" si="1"/>
        <v>1053.5478927203064</v>
      </c>
      <c r="BC11" s="23">
        <f t="shared" si="19"/>
        <v>74.829974887434332</v>
      </c>
      <c r="BD11" s="6">
        <f t="shared" si="2"/>
        <v>128165.09722707492</v>
      </c>
      <c r="BE11" s="6">
        <f t="shared" si="3"/>
        <v>1849.733870967742</v>
      </c>
      <c r="BF11" s="23">
        <f t="shared" si="20"/>
        <v>69.288398314305411</v>
      </c>
      <c r="BG11" s="3">
        <f t="shared" si="4"/>
        <v>103501.0297910224</v>
      </c>
      <c r="BH11" s="3">
        <f t="shared" si="5"/>
        <v>1451.6408818440241</v>
      </c>
      <c r="BI11" s="23">
        <f t="shared" si="21"/>
        <v>71.299335176854981</v>
      </c>
      <c r="BJ11" s="3">
        <f t="shared" si="22"/>
        <v>106692.67155507069</v>
      </c>
      <c r="BK11" s="3">
        <f t="shared" si="23"/>
        <v>1437.1997841787932</v>
      </c>
      <c r="BL11" s="23">
        <f t="shared" si="24"/>
        <v>74.23649288677997</v>
      </c>
      <c r="BN11" s="216" t="s">
        <v>92</v>
      </c>
      <c r="BO11" s="16">
        <f t="shared" si="47"/>
        <v>1.6230948356042554</v>
      </c>
      <c r="BP11" s="16">
        <f t="shared" si="48"/>
        <v>1.5938697318007662</v>
      </c>
      <c r="BQ11" s="397">
        <f t="shared" si="49"/>
        <v>2.638662135120541</v>
      </c>
      <c r="BR11" s="397">
        <f t="shared" si="50"/>
        <v>2.7983870967741935</v>
      </c>
      <c r="BS11" s="397">
        <f t="shared" si="51"/>
        <v>2.1965879839222326</v>
      </c>
      <c r="BT11" s="397">
        <f t="shared" si="52"/>
        <v>2.1742810653234388</v>
      </c>
      <c r="BU11" s="17">
        <f t="shared" si="6"/>
        <v>2.5783705541770057</v>
      </c>
      <c r="BV11" s="7">
        <f t="shared" si="7"/>
        <v>2.7983870967741935</v>
      </c>
      <c r="BW11" s="28"/>
      <c r="BX11" s="32"/>
      <c r="BY11" s="12">
        <f t="shared" si="25"/>
        <v>2.4517903566350201</v>
      </c>
      <c r="BZ11" s="13">
        <f t="shared" si="26"/>
        <v>2.5627118644067797</v>
      </c>
      <c r="CA11" s="12">
        <f t="shared" si="27"/>
        <v>2.2095711044818778</v>
      </c>
      <c r="CB11" s="29">
        <f t="shared" si="28"/>
        <v>2.1363636363636362</v>
      </c>
      <c r="CC11" s="12">
        <f t="shared" si="29"/>
        <v>2.2373020411207518</v>
      </c>
      <c r="CD11" s="29">
        <f t="shared" si="30"/>
        <v>2.1059322033898304</v>
      </c>
      <c r="CE11" s="12">
        <f t="shared" si="31"/>
        <v>1.6230948356042554</v>
      </c>
      <c r="CF11" s="29">
        <f t="shared" si="32"/>
        <v>1.5938697318007662</v>
      </c>
      <c r="CG11" s="12">
        <f t="shared" si="33"/>
        <v>2.3740326218455721</v>
      </c>
      <c r="CH11" s="29">
        <f t="shared" si="34"/>
        <v>2.3385049365303243</v>
      </c>
      <c r="CI11" s="12">
        <f t="shared" si="35"/>
        <v>1.8264108654991991</v>
      </c>
      <c r="CJ11" s="29">
        <f t="shared" si="36"/>
        <v>1.8642447418738051</v>
      </c>
      <c r="CK11" s="12">
        <f t="shared" si="37"/>
        <v>2.3013854735200625</v>
      </c>
      <c r="CL11" s="29">
        <f t="shared" si="38"/>
        <v>2.4618320610687023</v>
      </c>
      <c r="CM11" s="12">
        <f t="shared" si="39"/>
        <v>1.7548125030424646</v>
      </c>
      <c r="CN11" s="29">
        <f t="shared" si="40"/>
        <v>1.7628541448058761</v>
      </c>
      <c r="CO11" s="12">
        <f t="shared" si="41"/>
        <v>2.167035332097806</v>
      </c>
      <c r="CP11" s="29">
        <f t="shared" si="42"/>
        <v>2.1181102362204722</v>
      </c>
      <c r="CQ11" s="12">
        <f t="shared" si="43"/>
        <v>2.638662135120541</v>
      </c>
      <c r="CR11" s="29">
        <f t="shared" si="44"/>
        <v>2.6114942528735634</v>
      </c>
      <c r="CS11" s="18"/>
      <c r="CT11" s="20">
        <f t="shared" si="8"/>
        <v>-0.22001654259718784</v>
      </c>
      <c r="CU11" s="33"/>
      <c r="CV11" s="34"/>
      <c r="CW11" s="30"/>
      <c r="CX11" s="31">
        <f t="shared" si="9"/>
        <v>-0.11092150777175958</v>
      </c>
      <c r="CY11" s="21"/>
      <c r="CZ11" s="19">
        <f t="shared" si="10"/>
        <v>7.3207468118241525E-2</v>
      </c>
      <c r="DA11" s="21"/>
      <c r="DB11" s="19">
        <f t="shared" si="11"/>
        <v>0.13136983773092137</v>
      </c>
      <c r="DC11" s="21"/>
      <c r="DD11" s="19">
        <f t="shared" si="12"/>
        <v>2.9225103803489194E-2</v>
      </c>
      <c r="DE11" s="21"/>
      <c r="DF11" s="19">
        <f t="shared" si="13"/>
        <v>3.5527685315247748E-2</v>
      </c>
      <c r="DG11" s="21"/>
      <c r="DH11" s="19">
        <f t="shared" si="14"/>
        <v>-3.7833876374606001E-2</v>
      </c>
      <c r="DI11" s="21"/>
      <c r="DJ11" s="19">
        <f t="shared" si="15"/>
        <v>-0.16044658754863983</v>
      </c>
      <c r="DK11" s="21"/>
      <c r="DL11" s="19">
        <f t="shared" si="16"/>
        <v>-8.041641763411489E-3</v>
      </c>
      <c r="DM11" s="21"/>
      <c r="DN11" s="19">
        <f t="shared" si="17"/>
        <v>4.8925095877333735E-2</v>
      </c>
      <c r="DO11" s="21"/>
      <c r="DP11" s="19">
        <f t="shared" si="18"/>
        <v>2.7167882246977637E-2</v>
      </c>
    </row>
    <row r="12" spans="1:120" ht="15.75" outlineLevel="1" thickBot="1" x14ac:dyDescent="0.3">
      <c r="A12" s="14">
        <v>8</v>
      </c>
      <c r="B12" s="3">
        <v>26679</v>
      </c>
      <c r="C12" s="3">
        <v>136</v>
      </c>
      <c r="D12" s="564">
        <f>IFERROR(Tabelle3[[#This Row],[Ned (€)]]/Tabelle3[[#This Row],[Ned (Backer)]],"")</f>
        <v>196.16911764705881</v>
      </c>
      <c r="E12" s="8">
        <f t="shared" si="53"/>
        <v>66501.944444444453</v>
      </c>
      <c r="F12" s="8">
        <f t="shared" si="54"/>
        <v>414.16666666666657</v>
      </c>
      <c r="G12" s="8">
        <f t="shared" si="45"/>
        <v>107000</v>
      </c>
      <c r="H12" s="8">
        <f t="shared" si="46"/>
        <v>780</v>
      </c>
      <c r="I12" s="3">
        <v>72783</v>
      </c>
      <c r="J12" s="3">
        <v>308</v>
      </c>
      <c r="K12" s="22">
        <f>Tabelle3[[#This Row],[Werkzeuge (€)]]/Tabelle3[[#This Row],[Werkzeuge (Backer)]]</f>
        <v>236.30844155844156</v>
      </c>
      <c r="L12" s="3">
        <v>58795</v>
      </c>
      <c r="M12" s="3">
        <v>325</v>
      </c>
      <c r="N12" s="22">
        <f>Tabelle3[[#This Row],[DSK Fasar (€)]]/Tabelle3[[#This Row],[DSK Fasar (Backer)]]</f>
        <v>180.90769230769232</v>
      </c>
      <c r="O12" s="3">
        <v>43766</v>
      </c>
      <c r="P12" s="3">
        <v>253</v>
      </c>
      <c r="Q12" s="564">
        <f>Tabelle3[[#This Row],[Mythen (€)]]/Tabelle3[[#This Row],[Mythen (Backer)]]</f>
        <v>172.98814229249012</v>
      </c>
      <c r="R12" s="3">
        <v>154154</v>
      </c>
      <c r="S12" s="3">
        <v>1084</v>
      </c>
      <c r="T12" s="564">
        <f>Tabelle3[[#This Row],[SOK (€)]]/Tabelle3[[#This Row],[SOK (Backer)]]</f>
        <v>142.20848708487085</v>
      </c>
      <c r="U12" s="3">
        <v>182858</v>
      </c>
      <c r="V12" s="3">
        <v>792</v>
      </c>
      <c r="W12" s="22">
        <f>Tabelle3[[#This Row],[RE (€)]]/Tabelle3[[#This Row],[RE (Backer)]]</f>
        <v>230.88131313131314</v>
      </c>
      <c r="X12" s="3">
        <v>130050</v>
      </c>
      <c r="Y12" s="3">
        <v>539</v>
      </c>
      <c r="Z12" s="22">
        <f>Tabelle3[[#This Row],[DGG (€)]]/Tabelle3[[#This Row],[DGG (Backer)]]</f>
        <v>241.28014842300556</v>
      </c>
      <c r="AA12" s="3">
        <v>54482</v>
      </c>
      <c r="AB12" s="3">
        <v>287</v>
      </c>
      <c r="AC12" s="22">
        <f>Tabelle3[[#This Row],[DSK SV (€)]]/Tabelle3[[#This Row],[DSK SV (Backer)]]</f>
        <v>189.83275261324042</v>
      </c>
      <c r="AD12" s="3">
        <v>193287</v>
      </c>
      <c r="AE12" s="3">
        <v>994</v>
      </c>
      <c r="AF12" s="22">
        <f>Tabelle3[[#This Row],[WW (€)]]/Tabelle3[[#This Row],[WW (Backer)]]</f>
        <v>194.45372233400403</v>
      </c>
      <c r="AG12" s="3">
        <v>17672</v>
      </c>
      <c r="AH12" s="3">
        <v>134</v>
      </c>
      <c r="AI12" s="22">
        <f>Tabelle3[[#This Row],[DSK R (€)]]/Tabelle3[[#This Row],[DSK R (Backer)]]</f>
        <v>131.88059701492537</v>
      </c>
      <c r="AJ12" s="3">
        <v>103073</v>
      </c>
      <c r="AK12" s="3">
        <v>476</v>
      </c>
      <c r="AL12" s="22">
        <f>Tabelle3[[#This Row],[Ära (€)]]/Tabelle3[[#This Row],[Ära (Backer)]]</f>
        <v>216.53991596638656</v>
      </c>
      <c r="AM12" s="184">
        <f>'Übersicht &amp; Anleitung'!AS58</f>
        <v>50335</v>
      </c>
      <c r="AN12" s="184">
        <f>'Übersicht &amp; Anleitung'!AT58</f>
        <v>687</v>
      </c>
      <c r="AO12" s="22">
        <f>Tabelle3[[#This Row],[Mosaik (€)]]/Tabelle3[[#This Row],[Mosaik (Backer)]]</f>
        <v>73.267831149927218</v>
      </c>
      <c r="AZ12" s="424" t="s">
        <v>203</v>
      </c>
      <c r="BA12" s="6">
        <f t="shared" si="0"/>
        <v>78064.408286518679</v>
      </c>
      <c r="BB12" s="6">
        <f t="shared" si="1"/>
        <v>1054.5830258302583</v>
      </c>
      <c r="BC12" s="23">
        <f t="shared" si="19"/>
        <v>74.023956743528728</v>
      </c>
      <c r="BD12" s="6">
        <f t="shared" si="2"/>
        <v>121704.40721624478</v>
      </c>
      <c r="BE12" s="6">
        <f t="shared" si="3"/>
        <v>1752.8602941176468</v>
      </c>
      <c r="BF12" s="23">
        <f t="shared" si="20"/>
        <v>69.431892333158373</v>
      </c>
      <c r="BG12" s="3">
        <f t="shared" si="4"/>
        <v>99884.407751381732</v>
      </c>
      <c r="BH12" s="3">
        <f t="shared" si="5"/>
        <v>1403.7216599739527</v>
      </c>
      <c r="BI12" s="23">
        <f t="shared" si="21"/>
        <v>71.156847257906648</v>
      </c>
      <c r="BJ12" s="3">
        <f t="shared" si="22"/>
        <v>103272.04696739082</v>
      </c>
      <c r="BK12" s="3">
        <f t="shared" si="23"/>
        <v>1399.9303801570129</v>
      </c>
      <c r="BL12" s="23">
        <f t="shared" si="24"/>
        <v>73.769416273263587</v>
      </c>
      <c r="BN12" s="216" t="s">
        <v>203</v>
      </c>
      <c r="BO12" s="16">
        <f t="shared" si="47"/>
        <v>1.5508971547932586</v>
      </c>
      <c r="BP12" s="16">
        <f t="shared" si="48"/>
        <v>1.5350553505535056</v>
      </c>
      <c r="BQ12" s="397">
        <f t="shared" si="49"/>
        <v>2.4178882927633811</v>
      </c>
      <c r="BR12" s="397">
        <f t="shared" si="50"/>
        <v>2.5514705882352939</v>
      </c>
      <c r="BS12" s="397">
        <f t="shared" si="51"/>
        <v>2.0516945856241349</v>
      </c>
      <c r="BT12" s="397">
        <f t="shared" si="52"/>
        <v>2.0377443670407756</v>
      </c>
      <c r="BU12" s="17">
        <f t="shared" si="6"/>
        <v>2.3368567037745045</v>
      </c>
      <c r="BV12" s="7">
        <f t="shared" si="7"/>
        <v>2.5514705882352939</v>
      </c>
      <c r="BW12" s="28"/>
      <c r="BX12" s="32"/>
      <c r="BY12" s="12">
        <f t="shared" si="25"/>
        <v>2.3453416319744997</v>
      </c>
      <c r="BZ12" s="13">
        <f t="shared" si="26"/>
        <v>2.4545454545454546</v>
      </c>
      <c r="CA12" s="12">
        <f t="shared" si="27"/>
        <v>2.1038183519006717</v>
      </c>
      <c r="CB12" s="29">
        <f t="shared" si="28"/>
        <v>2.0246153846153847</v>
      </c>
      <c r="CC12" s="12">
        <f t="shared" si="29"/>
        <v>2.0561851665676554</v>
      </c>
      <c r="CD12" s="29">
        <f t="shared" si="30"/>
        <v>1.9644268774703557</v>
      </c>
      <c r="CE12" s="12">
        <f t="shared" si="31"/>
        <v>1.5508971547932586</v>
      </c>
      <c r="CF12" s="29">
        <f t="shared" si="32"/>
        <v>1.5350553505535056</v>
      </c>
      <c r="CG12" s="12">
        <f t="shared" si="33"/>
        <v>2.1355751457415044</v>
      </c>
      <c r="CH12" s="29">
        <f t="shared" si="34"/>
        <v>2.0934343434343434</v>
      </c>
      <c r="CI12" s="12">
        <f t="shared" si="35"/>
        <v>1.7795463283352557</v>
      </c>
      <c r="CJ12" s="29">
        <f t="shared" si="36"/>
        <v>1.8089053803339519</v>
      </c>
      <c r="CK12" s="12">
        <f t="shared" si="37"/>
        <v>2.1128629639146874</v>
      </c>
      <c r="CL12" s="29">
        <f t="shared" si="38"/>
        <v>2.2473867595818815</v>
      </c>
      <c r="CM12" s="12">
        <f t="shared" si="39"/>
        <v>1.678514333607537</v>
      </c>
      <c r="CN12" s="29">
        <f t="shared" si="40"/>
        <v>1.6901408450704225</v>
      </c>
      <c r="CO12" s="12">
        <f t="shared" si="41"/>
        <v>2.0511543684925306</v>
      </c>
      <c r="CP12" s="29">
        <f t="shared" si="42"/>
        <v>2.0074626865671643</v>
      </c>
      <c r="CQ12" s="12">
        <f t="shared" si="43"/>
        <v>2.4178882927633811</v>
      </c>
      <c r="CR12" s="29">
        <f t="shared" si="44"/>
        <v>2.3865546218487395</v>
      </c>
      <c r="CS12" s="18"/>
      <c r="CT12" s="20">
        <f t="shared" si="8"/>
        <v>-0.21461388446078944</v>
      </c>
      <c r="CU12" s="33"/>
      <c r="CV12" s="34"/>
      <c r="CW12" s="30"/>
      <c r="CX12" s="31">
        <f t="shared" si="9"/>
        <v>-0.10920382257095484</v>
      </c>
      <c r="CY12" s="21"/>
      <c r="CZ12" s="19">
        <f t="shared" si="10"/>
        <v>7.9202967285286974E-2</v>
      </c>
      <c r="DA12" s="21"/>
      <c r="DB12" s="19">
        <f t="shared" si="11"/>
        <v>9.1758289097299661E-2</v>
      </c>
      <c r="DC12" s="21"/>
      <c r="DD12" s="19">
        <f t="shared" si="12"/>
        <v>1.584180423975301E-2</v>
      </c>
      <c r="DE12" s="21"/>
      <c r="DF12" s="19">
        <f t="shared" si="13"/>
        <v>4.2140802307160996E-2</v>
      </c>
      <c r="DG12" s="21"/>
      <c r="DH12" s="19">
        <f t="shared" si="14"/>
        <v>-2.9359051998696151E-2</v>
      </c>
      <c r="DI12" s="21"/>
      <c r="DJ12" s="19">
        <f t="shared" si="15"/>
        <v>-0.13452379566719408</v>
      </c>
      <c r="DK12" s="21"/>
      <c r="DL12" s="19">
        <f t="shared" si="16"/>
        <v>-1.1626511462885514E-2</v>
      </c>
      <c r="DM12" s="21"/>
      <c r="DN12" s="19">
        <f t="shared" si="17"/>
        <v>4.3691681925366321E-2</v>
      </c>
      <c r="DO12" s="21"/>
      <c r="DP12" s="19">
        <f t="shared" si="18"/>
        <v>3.1333670914641676E-2</v>
      </c>
    </row>
    <row r="13" spans="1:120" ht="15.75" outlineLevel="1" thickBot="1" x14ac:dyDescent="0.3">
      <c r="A13" s="14">
        <v>9</v>
      </c>
      <c r="B13" s="3">
        <v>27868</v>
      </c>
      <c r="C13" s="3">
        <v>142</v>
      </c>
      <c r="D13" s="22">
        <f>IFERROR(Tabelle3[[#This Row],[Ned (€)]]/Tabelle3[[#This Row],[Ned (Backer)]],"")</f>
        <v>196.25352112676057</v>
      </c>
      <c r="E13" s="8">
        <f t="shared" si="53"/>
        <v>70602.333333333343</v>
      </c>
      <c r="F13" s="8">
        <f t="shared" si="54"/>
        <v>436.99999999999989</v>
      </c>
      <c r="G13" s="8">
        <f t="shared" si="45"/>
        <v>113000</v>
      </c>
      <c r="H13" s="8">
        <f t="shared" si="46"/>
        <v>820</v>
      </c>
      <c r="I13" s="3">
        <v>76597</v>
      </c>
      <c r="J13" s="3">
        <v>329</v>
      </c>
      <c r="K13" s="22">
        <f>Tabelle3[[#This Row],[Werkzeuge (€)]]/Tabelle3[[#This Row],[Werkzeuge (Backer)]]</f>
        <v>232.81762917933131</v>
      </c>
      <c r="L13" s="3">
        <v>63300</v>
      </c>
      <c r="M13" s="3">
        <v>350</v>
      </c>
      <c r="N13" s="22">
        <f>Tabelle3[[#This Row],[DSK Fasar (€)]]/Tabelle3[[#This Row],[DSK Fasar (Backer)]]</f>
        <v>180.85714285714286</v>
      </c>
      <c r="O13" s="3">
        <v>45971</v>
      </c>
      <c r="P13" s="3">
        <v>267</v>
      </c>
      <c r="Q13" s="22">
        <f>Tabelle3[[#This Row],[Mythen (€)]]/Tabelle3[[#This Row],[Mythen (Backer)]]</f>
        <v>172.17602996254681</v>
      </c>
      <c r="R13" s="3">
        <v>158642</v>
      </c>
      <c r="S13" s="3">
        <v>1112</v>
      </c>
      <c r="T13" s="22">
        <f>Tabelle3[[#This Row],[SOK (€)]]/Tabelle3[[#This Row],[SOK (Backer)]]</f>
        <v>142.66366906474821</v>
      </c>
      <c r="U13" s="3">
        <v>195000</v>
      </c>
      <c r="V13" s="3">
        <v>851</v>
      </c>
      <c r="W13" s="22">
        <f>Tabelle3[[#This Row],[RE (€)]]/Tabelle3[[#This Row],[RE (Backer)]]</f>
        <v>229.14218566392481</v>
      </c>
      <c r="X13" s="3">
        <v>133215</v>
      </c>
      <c r="Y13" s="3">
        <v>551</v>
      </c>
      <c r="Z13" s="564">
        <f>Tabelle3[[#This Row],[DGG (€)]]/Tabelle3[[#This Row],[DGG (Backer)]]</f>
        <v>241.76950998185117</v>
      </c>
      <c r="AA13" s="3">
        <v>60464</v>
      </c>
      <c r="AB13" s="3">
        <v>324</v>
      </c>
      <c r="AC13" s="22">
        <f>Tabelle3[[#This Row],[DSK SV (€)]]/Tabelle3[[#This Row],[DSK SV (Backer)]]</f>
        <v>186.61728395061729</v>
      </c>
      <c r="AD13" s="3">
        <v>202015</v>
      </c>
      <c r="AE13" s="3">
        <v>1040</v>
      </c>
      <c r="AF13" s="22">
        <f>Tabelle3[[#This Row],[WW (€)]]/Tabelle3[[#This Row],[WW (Backer)]]</f>
        <v>194.24519230769232</v>
      </c>
      <c r="AG13" s="3">
        <v>17982</v>
      </c>
      <c r="AH13" s="3">
        <v>138</v>
      </c>
      <c r="AI13" s="22">
        <f>Tabelle3[[#This Row],[DSK R (€)]]/Tabelle3[[#This Row],[DSK R (Backer)]]</f>
        <v>130.30434782608697</v>
      </c>
      <c r="AJ13" s="3">
        <v>113149</v>
      </c>
      <c r="AK13" s="3">
        <v>524</v>
      </c>
      <c r="AL13" s="22">
        <f>Tabelle3[[#This Row],[Ära (€)]]/Tabelle3[[#This Row],[Ära (Backer)]]</f>
        <v>215.93320610687022</v>
      </c>
      <c r="AM13" s="184">
        <f>'Übersicht &amp; Anleitung'!AS59</f>
        <v>51635</v>
      </c>
      <c r="AN13" s="184">
        <f>'Übersicht &amp; Anleitung'!AT59</f>
        <v>705</v>
      </c>
      <c r="AO13" s="22">
        <f>Tabelle3[[#This Row],[Mosaik (€)]]/Tabelle3[[#This Row],[Mosaik (Backer)]]</f>
        <v>73.241134751773046</v>
      </c>
      <c r="AZ13" s="424" t="s">
        <v>204</v>
      </c>
      <c r="BA13" s="6">
        <f t="shared" si="0"/>
        <v>77815.086137340681</v>
      </c>
      <c r="BB13" s="6">
        <f t="shared" si="1"/>
        <v>1054.9640287769785</v>
      </c>
      <c r="BC13" s="23">
        <f t="shared" si="19"/>
        <v>73.7608904329675</v>
      </c>
      <c r="BD13" s="6">
        <f t="shared" si="2"/>
        <v>115515.4325749964</v>
      </c>
      <c r="BE13" s="6">
        <f t="shared" si="3"/>
        <v>1722.7816901408451</v>
      </c>
      <c r="BF13" s="23">
        <f t="shared" si="20"/>
        <v>67.051695078993149</v>
      </c>
      <c r="BG13" s="3">
        <f t="shared" si="4"/>
        <v>96665.259356168535</v>
      </c>
      <c r="BH13" s="3">
        <f t="shared" si="5"/>
        <v>1388.8728594589118</v>
      </c>
      <c r="BI13" s="23">
        <f t="shared" si="21"/>
        <v>69.599790000812717</v>
      </c>
      <c r="BJ13" s="3">
        <f t="shared" si="22"/>
        <v>100230.30944876993</v>
      </c>
      <c r="BK13" s="3">
        <f t="shared" si="23"/>
        <v>1357.3059899570044</v>
      </c>
      <c r="BL13" s="23">
        <f t="shared" si="24"/>
        <v>73.845035821248345</v>
      </c>
      <c r="BN13" s="216" t="s">
        <v>204</v>
      </c>
      <c r="BO13" s="16">
        <f t="shared" si="47"/>
        <v>1.5070221000743813</v>
      </c>
      <c r="BP13" s="16">
        <f t="shared" si="48"/>
        <v>1.4964028776978417</v>
      </c>
      <c r="BQ13" s="397">
        <f t="shared" si="49"/>
        <v>2.2371537247021673</v>
      </c>
      <c r="BR13" s="397">
        <f t="shared" si="50"/>
        <v>2.443661971830986</v>
      </c>
      <c r="BS13" s="397">
        <f t="shared" si="51"/>
        <v>1.9411311987754416</v>
      </c>
      <c r="BT13" s="397">
        <f t="shared" si="52"/>
        <v>1.9252567233432685</v>
      </c>
      <c r="BU13" s="17">
        <f t="shared" si="6"/>
        <v>2.2371537247021673</v>
      </c>
      <c r="BV13" s="7">
        <f t="shared" si="7"/>
        <v>2.443661971830986</v>
      </c>
      <c r="BW13" s="28"/>
      <c r="BX13" s="32"/>
      <c r="BY13" s="12">
        <f t="shared" si="25"/>
        <v>2.228559865268875</v>
      </c>
      <c r="BZ13" s="13">
        <f t="shared" si="26"/>
        <v>2.2978723404255321</v>
      </c>
      <c r="CA13" s="12">
        <f t="shared" si="27"/>
        <v>1.954091627172196</v>
      </c>
      <c r="CB13" s="29">
        <f t="shared" si="28"/>
        <v>1.88</v>
      </c>
      <c r="CC13" s="12">
        <f t="shared" si="29"/>
        <v>1.9575602009962803</v>
      </c>
      <c r="CD13" s="29">
        <f t="shared" si="30"/>
        <v>1.8614232209737829</v>
      </c>
      <c r="CE13" s="12">
        <f t="shared" si="31"/>
        <v>1.5070221000743813</v>
      </c>
      <c r="CF13" s="29">
        <f t="shared" si="32"/>
        <v>1.4964028776978417</v>
      </c>
      <c r="CG13" s="12">
        <f t="shared" si="33"/>
        <v>2.0026000000000002</v>
      </c>
      <c r="CH13" s="29">
        <f t="shared" si="34"/>
        <v>1.9482961222091657</v>
      </c>
      <c r="CI13" s="12">
        <f t="shared" si="35"/>
        <v>1.7372668243065721</v>
      </c>
      <c r="CJ13" s="29">
        <f t="shared" si="36"/>
        <v>1.7695099818511797</v>
      </c>
      <c r="CK13" s="12">
        <f t="shared" si="37"/>
        <v>1.903827070653612</v>
      </c>
      <c r="CL13" s="29">
        <f t="shared" si="38"/>
        <v>1.9907407407407407</v>
      </c>
      <c r="CM13" s="12">
        <f t="shared" si="39"/>
        <v>1.6059946043610622</v>
      </c>
      <c r="CN13" s="29">
        <f t="shared" si="40"/>
        <v>1.6153846153846154</v>
      </c>
      <c r="CO13" s="12">
        <f t="shared" si="41"/>
        <v>2.0157935713491271</v>
      </c>
      <c r="CP13" s="29">
        <f t="shared" si="42"/>
        <v>1.9492753623188406</v>
      </c>
      <c r="CQ13" s="12">
        <f t="shared" si="43"/>
        <v>2.2025735976455825</v>
      </c>
      <c r="CR13" s="29">
        <f t="shared" si="44"/>
        <v>2.16793893129771</v>
      </c>
      <c r="CS13" s="18"/>
      <c r="CT13" s="20">
        <f t="shared" si="8"/>
        <v>-0.20650824712881866</v>
      </c>
      <c r="CU13" s="33"/>
      <c r="CV13" s="34"/>
      <c r="CW13" s="30"/>
      <c r="CX13" s="31">
        <f t="shared" si="9"/>
        <v>-6.9312475156657172E-2</v>
      </c>
      <c r="CY13" s="21"/>
      <c r="CZ13" s="19">
        <f t="shared" si="10"/>
        <v>7.4091627172196084E-2</v>
      </c>
      <c r="DA13" s="21"/>
      <c r="DB13" s="19">
        <f t="shared" si="11"/>
        <v>9.6136980022497376E-2</v>
      </c>
      <c r="DC13" s="21"/>
      <c r="DD13" s="19">
        <f t="shared" si="12"/>
        <v>1.0619222376539561E-2</v>
      </c>
      <c r="DE13" s="21"/>
      <c r="DF13" s="19">
        <f t="shared" si="13"/>
        <v>5.4303877790834454E-2</v>
      </c>
      <c r="DG13" s="21"/>
      <c r="DH13" s="19">
        <f t="shared" si="14"/>
        <v>-3.2243157544607604E-2</v>
      </c>
      <c r="DI13" s="21"/>
      <c r="DJ13" s="19">
        <f t="shared" si="15"/>
        <v>-8.6913670087128692E-2</v>
      </c>
      <c r="DK13" s="21"/>
      <c r="DL13" s="19">
        <f t="shared" si="16"/>
        <v>-9.3900110235531908E-3</v>
      </c>
      <c r="DM13" s="21"/>
      <c r="DN13" s="19">
        <f t="shared" si="17"/>
        <v>6.651820903028649E-2</v>
      </c>
      <c r="DO13" s="21"/>
      <c r="DP13" s="19">
        <f t="shared" si="18"/>
        <v>3.4634666347872489E-2</v>
      </c>
    </row>
    <row r="14" spans="1:120" ht="15.75" outlineLevel="1" thickBot="1" x14ac:dyDescent="0.3">
      <c r="A14" s="14">
        <v>10</v>
      </c>
      <c r="B14" s="3">
        <v>31587</v>
      </c>
      <c r="C14" s="3">
        <v>161</v>
      </c>
      <c r="D14" s="22">
        <f>IFERROR(Tabelle3[[#This Row],[Ned (€)]]/Tabelle3[[#This Row],[Ned (Backer)]],"")</f>
        <v>196.19254658385094</v>
      </c>
      <c r="E14" s="8">
        <f t="shared" si="53"/>
        <v>74702.722222222234</v>
      </c>
      <c r="F14" s="8">
        <f t="shared" si="54"/>
        <v>459.8333333333332</v>
      </c>
      <c r="G14" s="8">
        <f t="shared" si="45"/>
        <v>119000</v>
      </c>
      <c r="H14" s="8">
        <f t="shared" si="46"/>
        <v>860</v>
      </c>
      <c r="I14" s="3">
        <v>81327</v>
      </c>
      <c r="J14" s="3">
        <v>350</v>
      </c>
      <c r="K14" s="22">
        <f>Tabelle3[[#This Row],[Werkzeuge (€)]]/Tabelle3[[#This Row],[Werkzeuge (Backer)]]</f>
        <v>232.36285714285714</v>
      </c>
      <c r="L14" s="3">
        <v>66650</v>
      </c>
      <c r="M14" s="3">
        <v>369</v>
      </c>
      <c r="N14" s="22">
        <f>Tabelle3[[#This Row],[DSK Fasar (€)]]/Tabelle3[[#This Row],[DSK Fasar (Backer)]]</f>
        <v>180.62330623306232</v>
      </c>
      <c r="O14" s="3">
        <v>48853</v>
      </c>
      <c r="P14" s="3">
        <v>282</v>
      </c>
      <c r="Q14" s="564">
        <f>Tabelle3[[#This Row],[Mythen (€)]]/Tabelle3[[#This Row],[Mythen (Backer)]]</f>
        <v>173.23758865248226</v>
      </c>
      <c r="R14" s="3">
        <v>163194</v>
      </c>
      <c r="S14" s="3">
        <v>1140</v>
      </c>
      <c r="T14" s="22">
        <f>Tabelle3[[#This Row],[SOK (€)]]/Tabelle3[[#This Row],[SOK (Backer)]]</f>
        <v>143.15263157894736</v>
      </c>
      <c r="U14" s="3">
        <v>203877</v>
      </c>
      <c r="V14" s="3">
        <v>893</v>
      </c>
      <c r="W14" s="22">
        <f>Tabelle3[[#This Row],[RE (€)]]/Tabelle3[[#This Row],[RE (Backer)]]</f>
        <v>228.30571108622621</v>
      </c>
      <c r="X14" s="3">
        <v>136715</v>
      </c>
      <c r="Y14" s="3">
        <v>565</v>
      </c>
      <c r="Z14" s="22">
        <f>Tabelle3[[#This Row],[DGG (€)]]/Tabelle3[[#This Row],[DGG (Backer)]]</f>
        <v>241.97345132743362</v>
      </c>
      <c r="AA14" s="3">
        <v>62608</v>
      </c>
      <c r="AB14" s="3">
        <v>336</v>
      </c>
      <c r="AC14" s="22">
        <f>Tabelle3[[#This Row],[DSK SV (€)]]/Tabelle3[[#This Row],[DSK SV (Backer)]]</f>
        <v>186.33333333333334</v>
      </c>
      <c r="AD14" s="3">
        <v>209016</v>
      </c>
      <c r="AE14" s="3">
        <v>1073</v>
      </c>
      <c r="AF14" s="22">
        <f>Tabelle3[[#This Row],[WW (€)]]/Tabelle3[[#This Row],[WW (Backer)]]</f>
        <v>194.79589934762348</v>
      </c>
      <c r="AG14" s="3">
        <v>18530</v>
      </c>
      <c r="AH14" s="3">
        <v>143</v>
      </c>
      <c r="AI14" s="22">
        <f>Tabelle3[[#This Row],[DSK R (€)]]/Tabelle3[[#This Row],[DSK R (Backer)]]</f>
        <v>129.58041958041957</v>
      </c>
      <c r="AJ14" s="3">
        <v>120667</v>
      </c>
      <c r="AK14" s="3">
        <v>564</v>
      </c>
      <c r="AL14" s="22">
        <f>Tabelle3[[#This Row],[Ära (€)]]/Tabelle3[[#This Row],[Ära (Backer)]]</f>
        <v>213.94858156028369</v>
      </c>
      <c r="AM14" s="184">
        <f>'Übersicht &amp; Anleitung'!AS60</f>
        <v>53657</v>
      </c>
      <c r="AN14" s="184">
        <f>'Übersicht &amp; Anleitung'!AT60</f>
        <v>727</v>
      </c>
      <c r="AO14" s="564">
        <f>Tabelle3[[#This Row],[Mosaik (€)]]/Tabelle3[[#This Row],[Mosaik (Backer)]]</f>
        <v>73.806052269601096</v>
      </c>
      <c r="AY14" s="216"/>
      <c r="AZ14" s="424" t="s">
        <v>205</v>
      </c>
      <c r="BA14" s="6">
        <f t="shared" si="0"/>
        <v>78606.778368077255</v>
      </c>
      <c r="BB14" s="6">
        <f t="shared" si="1"/>
        <v>1061.1649122807019</v>
      </c>
      <c r="BC14" s="23">
        <f t="shared" si="19"/>
        <v>74.07593057249899</v>
      </c>
      <c r="BD14" s="6">
        <f t="shared" si="2"/>
        <v>112623.15783196232</v>
      </c>
      <c r="BE14" s="6">
        <f t="shared" si="3"/>
        <v>1570.3200000000002</v>
      </c>
      <c r="BF14" s="23">
        <f t="shared" si="20"/>
        <v>71.719877370193529</v>
      </c>
      <c r="BG14" s="3">
        <f t="shared" si="4"/>
        <v>95614.968100019789</v>
      </c>
      <c r="BH14" s="3">
        <f t="shared" si="5"/>
        <v>1315.7424561403509</v>
      </c>
      <c r="BI14" s="23">
        <f t="shared" si="21"/>
        <v>72.669972496365574</v>
      </c>
      <c r="BJ14" s="3">
        <f t="shared" si="22"/>
        <v>98807.864408281559</v>
      </c>
      <c r="BK14" s="3">
        <f t="shared" si="23"/>
        <v>1328.1802785744269</v>
      </c>
      <c r="BL14" s="23">
        <f t="shared" si="24"/>
        <v>74.393413305560301</v>
      </c>
      <c r="BM14" s="216"/>
      <c r="BN14" s="216" t="s">
        <v>205</v>
      </c>
      <c r="BO14" s="16">
        <f t="shared" si="47"/>
        <v>1.4649864578354597</v>
      </c>
      <c r="BP14" s="16">
        <f t="shared" si="48"/>
        <v>1.4596491228070176</v>
      </c>
      <c r="BQ14" s="397">
        <f t="shared" si="49"/>
        <v>2.098946229419504</v>
      </c>
      <c r="BR14" s="397">
        <f t="shared" si="50"/>
        <v>2.16</v>
      </c>
      <c r="BS14" s="397">
        <f t="shared" si="51"/>
        <v>1.8414720243077616</v>
      </c>
      <c r="BT14" s="397">
        <f t="shared" si="52"/>
        <v>1.8269329829084278</v>
      </c>
      <c r="BU14" s="17">
        <f t="shared" si="6"/>
        <v>1.973755025801754</v>
      </c>
      <c r="BV14" s="7">
        <f t="shared" si="7"/>
        <v>2.1552795031055902</v>
      </c>
      <c r="BW14" s="28"/>
      <c r="BX14" s="32"/>
      <c r="BY14" s="12">
        <f t="shared" si="25"/>
        <v>2.098946229419504</v>
      </c>
      <c r="BZ14" s="13">
        <f t="shared" si="26"/>
        <v>2.16</v>
      </c>
      <c r="CA14" s="12">
        <f t="shared" si="27"/>
        <v>1.855873968492123</v>
      </c>
      <c r="CB14" s="29">
        <f t="shared" si="28"/>
        <v>1.7831978319783197</v>
      </c>
      <c r="CC14" s="12">
        <f t="shared" si="29"/>
        <v>1.8420772521646573</v>
      </c>
      <c r="CD14" s="29">
        <f t="shared" si="30"/>
        <v>1.7624113475177305</v>
      </c>
      <c r="CE14" s="12">
        <f t="shared" si="31"/>
        <v>1.4649864578354597</v>
      </c>
      <c r="CF14" s="29">
        <f t="shared" si="32"/>
        <v>1.4596491228070176</v>
      </c>
      <c r="CG14" s="12">
        <f t="shared" si="33"/>
        <v>1.9154048764696361</v>
      </c>
      <c r="CH14" s="29">
        <f t="shared" si="34"/>
        <v>1.8566629339305711</v>
      </c>
      <c r="CI14" s="12">
        <f t="shared" si="35"/>
        <v>1.6927915737117361</v>
      </c>
      <c r="CJ14" s="29">
        <f t="shared" si="36"/>
        <v>1.7256637168141593</v>
      </c>
      <c r="CK14" s="12">
        <f t="shared" si="37"/>
        <v>1.8386308458982878</v>
      </c>
      <c r="CL14" s="29">
        <f t="shared" si="38"/>
        <v>1.9196428571428572</v>
      </c>
      <c r="CM14" s="12">
        <f t="shared" si="39"/>
        <v>1.5522017453209325</v>
      </c>
      <c r="CN14" s="29">
        <f t="shared" si="40"/>
        <v>1.565703634669152</v>
      </c>
      <c r="CO14" s="12">
        <f t="shared" si="41"/>
        <v>1.9561791689152725</v>
      </c>
      <c r="CP14" s="29">
        <f t="shared" si="42"/>
        <v>1.881118881118881</v>
      </c>
      <c r="CQ14" s="12">
        <f t="shared" si="43"/>
        <v>2.0653451233560127</v>
      </c>
      <c r="CR14" s="29">
        <f t="shared" si="44"/>
        <v>2.0141843971631204</v>
      </c>
      <c r="CS14" s="18"/>
      <c r="CT14" s="20">
        <f t="shared" si="8"/>
        <v>-0.18152447730383625</v>
      </c>
      <c r="CU14" s="33"/>
      <c r="CV14" s="34"/>
      <c r="CW14" s="30"/>
      <c r="CX14" s="31">
        <f t="shared" si="9"/>
        <v>-6.1053770580496103E-2</v>
      </c>
      <c r="CY14" s="21"/>
      <c r="CZ14" s="19">
        <f t="shared" si="10"/>
        <v>7.2676136513803336E-2</v>
      </c>
      <c r="DA14" s="21"/>
      <c r="DB14" s="19">
        <f t="shared" si="11"/>
        <v>7.96659046469268E-2</v>
      </c>
      <c r="DC14" s="21"/>
      <c r="DD14" s="19">
        <f t="shared" si="12"/>
        <v>5.3373350284420251E-3</v>
      </c>
      <c r="DE14" s="21"/>
      <c r="DF14" s="19">
        <f t="shared" si="13"/>
        <v>5.8741942539064951E-2</v>
      </c>
      <c r="DG14" s="21"/>
      <c r="DH14" s="19">
        <f t="shared" si="14"/>
        <v>-3.2872143102423257E-2</v>
      </c>
      <c r="DI14" s="21"/>
      <c r="DJ14" s="19">
        <f t="shared" si="15"/>
        <v>-8.101201124456936E-2</v>
      </c>
      <c r="DK14" s="21"/>
      <c r="DL14" s="19">
        <f t="shared" si="16"/>
        <v>-1.3501889348219498E-2</v>
      </c>
      <c r="DM14" s="21"/>
      <c r="DN14" s="19">
        <f t="shared" si="17"/>
        <v>7.5060287796391512E-2</v>
      </c>
      <c r="DO14" s="21"/>
      <c r="DP14" s="19">
        <f t="shared" si="18"/>
        <v>5.1160726192892358E-2</v>
      </c>
    </row>
    <row r="15" spans="1:120" ht="15.75" outlineLevel="1" thickBot="1" x14ac:dyDescent="0.3">
      <c r="A15" s="14">
        <v>11</v>
      </c>
      <c r="B15" s="3">
        <v>34703</v>
      </c>
      <c r="C15" s="3">
        <v>178</v>
      </c>
      <c r="D15" s="22">
        <f>IFERROR(Tabelle3[[#This Row],[Ned (€)]]/Tabelle3[[#This Row],[Ned (Backer)]],"")</f>
        <v>194.96067415730337</v>
      </c>
      <c r="E15" s="8">
        <f t="shared" si="53"/>
        <v>78803.111111111124</v>
      </c>
      <c r="F15" s="8">
        <f t="shared" si="54"/>
        <v>482.66666666666652</v>
      </c>
      <c r="G15" s="3">
        <v>125000</v>
      </c>
      <c r="H15" s="3">
        <v>900</v>
      </c>
      <c r="I15" s="3">
        <v>83062</v>
      </c>
      <c r="J15" s="3">
        <v>356</v>
      </c>
      <c r="K15" s="564">
        <f>Tabelle3[[#This Row],[Werkzeuge (€)]]/Tabelle3[[#This Row],[Werkzeuge (Backer)]]</f>
        <v>233.32022471910113</v>
      </c>
      <c r="L15" s="3">
        <v>69668</v>
      </c>
      <c r="M15" s="3">
        <v>386</v>
      </c>
      <c r="N15" s="22">
        <f>Tabelle3[[#This Row],[DSK Fasar (€)]]/Tabelle3[[#This Row],[DSK Fasar (Backer)]]</f>
        <v>180.48704663212436</v>
      </c>
      <c r="O15" s="3">
        <v>50284</v>
      </c>
      <c r="P15" s="3">
        <v>291</v>
      </c>
      <c r="Q15" s="22">
        <f>Tabelle3[[#This Row],[Mythen (€)]]/Tabelle3[[#This Row],[Mythen (Backer)]]</f>
        <v>172.79725085910653</v>
      </c>
      <c r="R15" s="3">
        <v>166405</v>
      </c>
      <c r="S15" s="3">
        <v>1163</v>
      </c>
      <c r="T15" s="22">
        <f>Tabelle3[[#This Row],[SOK (€)]]/Tabelle3[[#This Row],[SOK (Backer)]]</f>
        <v>143.08254514187448</v>
      </c>
      <c r="U15" s="3">
        <v>212794</v>
      </c>
      <c r="V15" s="3">
        <v>935</v>
      </c>
      <c r="W15" s="22">
        <f>Tabelle3[[#This Row],[RE (€)]]/Tabelle3[[#This Row],[RE (Backer)]]</f>
        <v>227.58716577540108</v>
      </c>
      <c r="X15" s="3">
        <v>139670</v>
      </c>
      <c r="Y15" s="3">
        <v>582</v>
      </c>
      <c r="Z15" s="22">
        <f>Tabelle3[[#This Row],[DGG (€)]]/Tabelle3[[#This Row],[DGG (Backer)]]</f>
        <v>239.98281786941581</v>
      </c>
      <c r="AA15" s="3">
        <v>63707</v>
      </c>
      <c r="AB15" s="3">
        <v>345</v>
      </c>
      <c r="AC15" s="22">
        <f>Tabelle3[[#This Row],[DSK SV (€)]]/Tabelle3[[#This Row],[DSK SV (Backer)]]</f>
        <v>184.65797101449274</v>
      </c>
      <c r="AD15" s="3">
        <v>214911</v>
      </c>
      <c r="AE15" s="3">
        <v>1104</v>
      </c>
      <c r="AF15" s="22">
        <f>Tabelle3[[#This Row],[WW (€)]]/Tabelle3[[#This Row],[WW (Backer)]]</f>
        <v>194.66576086956522</v>
      </c>
      <c r="AG15" s="3">
        <v>19542</v>
      </c>
      <c r="AH15" s="3">
        <v>150</v>
      </c>
      <c r="AI15" s="22">
        <f>Tabelle3[[#This Row],[DSK R (€)]]/Tabelle3[[#This Row],[DSK R (Backer)]]</f>
        <v>130.28</v>
      </c>
      <c r="AJ15" s="3">
        <v>127353</v>
      </c>
      <c r="AK15" s="3">
        <v>596</v>
      </c>
      <c r="AL15" s="22">
        <f>Tabelle3[[#This Row],[Ära (€)]]/Tabelle3[[#This Row],[Ära (Backer)]]</f>
        <v>213.67953020134229</v>
      </c>
      <c r="AM15" s="184">
        <f>'Übersicht &amp; Anleitung'!AS61</f>
        <v>55502</v>
      </c>
      <c r="AN15" s="184">
        <f>'Übersicht &amp; Anleitung'!AT61</f>
        <v>753</v>
      </c>
      <c r="AO15" s="22">
        <f>Tabelle3[[#This Row],[Mosaik (€)]]/Tabelle3[[#This Row],[Mosaik (Backer)]]</f>
        <v>73.70783532536521</v>
      </c>
      <c r="AZ15" s="424" t="s">
        <v>206</v>
      </c>
      <c r="BA15" s="6">
        <f t="shared" si="0"/>
        <v>79740.702827439076</v>
      </c>
      <c r="BB15" s="6">
        <f t="shared" si="1"/>
        <v>1077.3791917454857</v>
      </c>
      <c r="BC15" s="23">
        <f t="shared" si="19"/>
        <v>74.013590979281318</v>
      </c>
      <c r="BD15" s="6">
        <f t="shared" si="2"/>
        <v>114062.34983506298</v>
      </c>
      <c r="BE15" s="6">
        <f t="shared" si="3"/>
        <v>1599.0674157303372</v>
      </c>
      <c r="BF15" s="23">
        <f t="shared" si="20"/>
        <v>71.330544736894424</v>
      </c>
      <c r="BG15" s="3">
        <f t="shared" si="4"/>
        <v>96901.526331251021</v>
      </c>
      <c r="BH15" s="3">
        <f t="shared" si="5"/>
        <v>1338.2233037379115</v>
      </c>
      <c r="BI15" s="23">
        <f t="shared" si="21"/>
        <v>72.41058055153178</v>
      </c>
      <c r="BJ15" s="3">
        <f t="shared" si="22"/>
        <v>98258.379814484695</v>
      </c>
      <c r="BK15" s="3">
        <f t="shared" si="23"/>
        <v>1321.4804075361862</v>
      </c>
      <c r="BL15" s="23">
        <f t="shared" si="24"/>
        <v>74.354776093639572</v>
      </c>
      <c r="BN15" s="216" t="s">
        <v>206</v>
      </c>
      <c r="BO15" s="16">
        <f t="shared" ref="BO15:BO25" si="55">MIN(BU15,BW15,BY15,CA15,CC15,CE15,CG15,CI15,CK15,CM15,CO15,CQ15)</f>
        <v>1.4367176467053273</v>
      </c>
      <c r="BP15" s="16">
        <f t="shared" ref="BP15:BP25" si="56">MIN(BV15,BX15,BZ15,CB15,CD15,CF15,CH15,CJ15,CL15,CN15,CP15,CR15)</f>
        <v>1.4307824591573517</v>
      </c>
      <c r="BQ15" s="397">
        <f t="shared" ref="BQ15:BQ25" si="57">MAX(BU15,BW15,BY15,CA15,CC15,CE15,CG15,CI15,CK15,CM15,CO15,CQ15)</f>
        <v>2.0551034167248563</v>
      </c>
      <c r="BR15" s="397">
        <f t="shared" ref="BR15:BR25" si="58">MAX(BV15,BX15,BZ15,CB15,CD15,CF15,CH15,CJ15,CL15,CN15,CP15,CR15)</f>
        <v>2.1235955056179776</v>
      </c>
      <c r="BS15" s="397">
        <f t="shared" ref="BS15:BS25" si="59">AVERAGE(BU15,BW15,BY15,CA15,CC15,CE15,CG15,CI15,CK15,CM15,CO15,CQ15)</f>
        <v>1.7703574612533728</v>
      </c>
      <c r="BT15" s="397">
        <f t="shared" ref="BT15:BT25" si="60">AVERAGE(BV15,BX15,BZ15,CB15,CD15,CF15,CH15,CJ15,CL15,CN15,CP15)</f>
        <v>1.7549540604730229</v>
      </c>
      <c r="BU15" s="17">
        <f t="shared" si="6"/>
        <v>1.7965305593176382</v>
      </c>
      <c r="BV15" s="7">
        <f t="shared" si="7"/>
        <v>1.949438202247191</v>
      </c>
      <c r="BW15" s="28"/>
      <c r="BX15" s="32"/>
      <c r="BY15" s="12">
        <f t="shared" si="25"/>
        <v>2.0551034167248563</v>
      </c>
      <c r="BZ15" s="13">
        <f t="shared" si="26"/>
        <v>2.1235955056179776</v>
      </c>
      <c r="CA15" s="12">
        <f t="shared" si="27"/>
        <v>1.7754779812826549</v>
      </c>
      <c r="CB15" s="29">
        <f t="shared" si="28"/>
        <v>1.7046632124352332</v>
      </c>
      <c r="CC15" s="12">
        <f t="shared" si="29"/>
        <v>1.78965476095776</v>
      </c>
      <c r="CD15" s="29">
        <f t="shared" si="30"/>
        <v>1.7079037800687284</v>
      </c>
      <c r="CE15" s="12">
        <f t="shared" si="31"/>
        <v>1.4367176467053273</v>
      </c>
      <c r="CF15" s="29">
        <f t="shared" si="32"/>
        <v>1.4307824591573517</v>
      </c>
      <c r="CG15" s="12">
        <f t="shared" si="33"/>
        <v>1.8351410284124552</v>
      </c>
      <c r="CH15" s="29">
        <f t="shared" si="34"/>
        <v>1.7732620320855614</v>
      </c>
      <c r="CI15" s="12">
        <f t="shared" si="35"/>
        <v>1.6569771604496313</v>
      </c>
      <c r="CJ15" s="29">
        <f t="shared" si="36"/>
        <v>1.6752577319587629</v>
      </c>
      <c r="CK15" s="12">
        <f t="shared" si="37"/>
        <v>1.8069128981116676</v>
      </c>
      <c r="CL15" s="29">
        <f t="shared" si="38"/>
        <v>1.8695652173913044</v>
      </c>
      <c r="CM15" s="12">
        <f t="shared" si="39"/>
        <v>1.5096249144994904</v>
      </c>
      <c r="CN15" s="29">
        <f t="shared" si="40"/>
        <v>1.5217391304347827</v>
      </c>
      <c r="CO15" s="12">
        <f t="shared" si="41"/>
        <v>1.854876675877597</v>
      </c>
      <c r="CP15" s="29">
        <f t="shared" si="42"/>
        <v>1.7933333333333332</v>
      </c>
      <c r="CQ15" s="12">
        <f t="shared" si="43"/>
        <v>1.9569150314480224</v>
      </c>
      <c r="CR15" s="29">
        <f t="shared" si="44"/>
        <v>1.9060402684563758</v>
      </c>
      <c r="CS15" s="18"/>
      <c r="CT15" s="20">
        <f t="shared" si="8"/>
        <v>-0.15290764292955283</v>
      </c>
      <c r="CU15" s="33"/>
      <c r="CV15" s="34"/>
      <c r="CW15" s="30"/>
      <c r="CX15" s="31">
        <f t="shared" si="9"/>
        <v>-6.8492088893121306E-2</v>
      </c>
      <c r="CY15" s="21"/>
      <c r="CZ15" s="19">
        <f t="shared" si="10"/>
        <v>7.0814768847421661E-2</v>
      </c>
      <c r="DA15" s="21"/>
      <c r="DB15" s="19">
        <f t="shared" si="11"/>
        <v>8.1750980889031544E-2</v>
      </c>
      <c r="DC15" s="21"/>
      <c r="DD15" s="19">
        <f t="shared" si="12"/>
        <v>5.9351875479756178E-3</v>
      </c>
      <c r="DE15" s="21"/>
      <c r="DF15" s="19">
        <f t="shared" si="13"/>
        <v>6.1878996326893754E-2</v>
      </c>
      <c r="DG15" s="21"/>
      <c r="DH15" s="19">
        <f t="shared" si="14"/>
        <v>-1.8280571509131649E-2</v>
      </c>
      <c r="DI15" s="21"/>
      <c r="DJ15" s="19">
        <f t="shared" si="15"/>
        <v>-6.2652319279636881E-2</v>
      </c>
      <c r="DK15" s="21"/>
      <c r="DL15" s="19">
        <f t="shared" si="16"/>
        <v>-1.2114215935292272E-2</v>
      </c>
      <c r="DM15" s="21"/>
      <c r="DN15" s="19">
        <f t="shared" si="17"/>
        <v>6.1543342544263746E-2</v>
      </c>
      <c r="DO15" s="21"/>
      <c r="DP15" s="19">
        <f t="shared" si="18"/>
        <v>5.0874762991646616E-2</v>
      </c>
    </row>
    <row r="16" spans="1:120" ht="15.75" outlineLevel="1" thickBot="1" x14ac:dyDescent="0.3">
      <c r="A16" s="14">
        <v>12</v>
      </c>
      <c r="B16" s="3">
        <v>36986</v>
      </c>
      <c r="C16" s="3">
        <v>193</v>
      </c>
      <c r="D16" s="22">
        <f>IFERROR(Tabelle3[[#This Row],[Ned (€)]]/Tabelle3[[#This Row],[Ned (Backer)]],"")</f>
        <v>191.63730569948186</v>
      </c>
      <c r="E16" s="8">
        <f t="shared" si="53"/>
        <v>82903.500000000015</v>
      </c>
      <c r="F16" s="8">
        <f t="shared" si="54"/>
        <v>505.49999999999983</v>
      </c>
      <c r="G16" s="8">
        <f>G15+($G$25-$G$15)/10</f>
        <v>139111.6</v>
      </c>
      <c r="H16" s="8">
        <f>H15+($H$25-$H$15)/10</f>
        <v>967.2</v>
      </c>
      <c r="I16" s="3">
        <v>86154</v>
      </c>
      <c r="J16" s="3">
        <v>371</v>
      </c>
      <c r="K16" s="22">
        <f>Tabelle3[[#This Row],[Werkzeuge (€)]]/Tabelle3[[#This Row],[Werkzeuge (Backer)]]</f>
        <v>232.22102425876011</v>
      </c>
      <c r="L16" s="3">
        <v>71286</v>
      </c>
      <c r="M16" s="3">
        <v>395</v>
      </c>
      <c r="N16" s="22">
        <f>Tabelle3[[#This Row],[DSK Fasar (€)]]/Tabelle3[[#This Row],[DSK Fasar (Backer)]]</f>
        <v>180.47088607594938</v>
      </c>
      <c r="O16" s="3">
        <v>54218</v>
      </c>
      <c r="P16" s="3">
        <v>311</v>
      </c>
      <c r="Q16" s="564">
        <f>Tabelle3[[#This Row],[Mythen (€)]]/Tabelle3[[#This Row],[Mythen (Backer)]]</f>
        <v>174.33440514469453</v>
      </c>
      <c r="R16" s="3">
        <v>169780</v>
      </c>
      <c r="S16" s="3">
        <v>1189</v>
      </c>
      <c r="T16" s="22">
        <f>Tabelle3[[#This Row],[SOK (€)]]/Tabelle3[[#This Row],[SOK (Backer)]]</f>
        <v>142.79226240538267</v>
      </c>
      <c r="U16" s="3">
        <v>221864</v>
      </c>
      <c r="V16" s="3">
        <v>976</v>
      </c>
      <c r="W16" s="22">
        <f>Tabelle3[[#This Row],[RE (€)]]/Tabelle3[[#This Row],[RE (Backer)]]</f>
        <v>227.31967213114754</v>
      </c>
      <c r="X16" s="3">
        <v>143057</v>
      </c>
      <c r="Y16" s="3">
        <v>598</v>
      </c>
      <c r="Z16" s="22">
        <f>Tabelle3[[#This Row],[DGG (€)]]/Tabelle3[[#This Row],[DGG (Backer)]]</f>
        <v>239.22575250836121</v>
      </c>
      <c r="AA16" s="3">
        <v>66094</v>
      </c>
      <c r="AB16" s="3">
        <v>361</v>
      </c>
      <c r="AC16" s="22">
        <f>Tabelle3[[#This Row],[DSK SV (€)]]/Tabelle3[[#This Row],[DSK SV (Backer)]]</f>
        <v>183.08587257617728</v>
      </c>
      <c r="AD16" s="3">
        <v>220698</v>
      </c>
      <c r="AE16" s="3">
        <v>1137</v>
      </c>
      <c r="AF16" s="22">
        <f>Tabelle3[[#This Row],[WW (€)]]/Tabelle3[[#This Row],[WW (Backer)]]</f>
        <v>194.10554089709763</v>
      </c>
      <c r="AG16" s="3">
        <v>20594</v>
      </c>
      <c r="AH16" s="3">
        <v>154</v>
      </c>
      <c r="AI16" s="564">
        <f>Tabelle3[[#This Row],[DSK R (€)]]/Tabelle3[[#This Row],[DSK R (Backer)]]</f>
        <v>133.72727272727272</v>
      </c>
      <c r="AJ16" s="3">
        <v>134068</v>
      </c>
      <c r="AK16" s="3">
        <v>624</v>
      </c>
      <c r="AL16" s="564">
        <f>Tabelle3[[#This Row],[Ära (€)]]/Tabelle3[[#This Row],[Ära (Backer)]]</f>
        <v>214.85256410256412</v>
      </c>
      <c r="AM16" s="184">
        <f>'Übersicht &amp; Anleitung'!AS62</f>
        <v>57013</v>
      </c>
      <c r="AN16" s="184">
        <f>'Übersicht &amp; Anleitung'!AT62</f>
        <v>775</v>
      </c>
      <c r="AO16" s="22">
        <f>Tabelle3[[#This Row],[Mosaik (€)]]/Tabelle3[[#This Row],[Mosaik (Backer)]]</f>
        <v>73.565161290322578</v>
      </c>
      <c r="AZ16" s="424" t="s">
        <v>207</v>
      </c>
      <c r="BA16" s="6">
        <f t="shared" si="0"/>
        <v>80283.290146071377</v>
      </c>
      <c r="BB16" s="6">
        <f t="shared" si="1"/>
        <v>1084.6089150546677</v>
      </c>
      <c r="BC16" s="23">
        <f t="shared" si="19"/>
        <v>74.020496265259666</v>
      </c>
      <c r="BD16" s="6">
        <f t="shared" si="2"/>
        <v>112962.55673561298</v>
      </c>
      <c r="BE16" s="6">
        <f t="shared" si="3"/>
        <v>1579.2452830188679</v>
      </c>
      <c r="BF16" s="23">
        <f t="shared" si="20"/>
        <v>71.529456475358273</v>
      </c>
      <c r="BG16" s="3">
        <f t="shared" si="4"/>
        <v>96622.923440842176</v>
      </c>
      <c r="BH16" s="3">
        <f t="shared" si="5"/>
        <v>1331.9270990367677</v>
      </c>
      <c r="BI16" s="23">
        <f t="shared" si="21"/>
        <v>72.543702662644691</v>
      </c>
      <c r="BJ16" s="3">
        <f t="shared" si="22"/>
        <v>96811.742063791564</v>
      </c>
      <c r="BK16" s="3">
        <f t="shared" si="23"/>
        <v>1305.0447340106934</v>
      </c>
      <c r="BL16" s="23">
        <f t="shared" si="24"/>
        <v>74.18270005677698</v>
      </c>
      <c r="BN16" s="216" t="s">
        <v>207</v>
      </c>
      <c r="BO16" s="16">
        <f t="shared" si="55"/>
        <v>1.4081576157380138</v>
      </c>
      <c r="BP16" s="16">
        <f t="shared" si="56"/>
        <v>1.3994953742640874</v>
      </c>
      <c r="BQ16" s="397">
        <f t="shared" si="57"/>
        <v>1.9813473547368665</v>
      </c>
      <c r="BR16" s="397">
        <f t="shared" si="58"/>
        <v>2.0377358490566038</v>
      </c>
      <c r="BS16" s="397">
        <f t="shared" si="59"/>
        <v>1.6980643373229187</v>
      </c>
      <c r="BT16" s="397">
        <f t="shared" si="60"/>
        <v>1.6839286890460561</v>
      </c>
      <c r="BU16" s="17">
        <f t="shared" si="6"/>
        <v>1.6856378089006652</v>
      </c>
      <c r="BV16" s="7">
        <f t="shared" si="7"/>
        <v>1.7979274611398963</v>
      </c>
      <c r="BW16" s="28"/>
      <c r="BX16" s="32"/>
      <c r="BY16" s="12">
        <f t="shared" si="25"/>
        <v>1.9813473547368665</v>
      </c>
      <c r="BZ16" s="13">
        <f t="shared" si="26"/>
        <v>2.0377358490566038</v>
      </c>
      <c r="CA16" s="12">
        <f t="shared" si="27"/>
        <v>1.7351794181185647</v>
      </c>
      <c r="CB16" s="29">
        <f t="shared" si="28"/>
        <v>1.6658227848101266</v>
      </c>
      <c r="CC16" s="12">
        <f t="shared" si="29"/>
        <v>1.6597993286362462</v>
      </c>
      <c r="CD16" s="29">
        <f t="shared" si="30"/>
        <v>1.5980707395498392</v>
      </c>
      <c r="CE16" s="12">
        <f t="shared" si="31"/>
        <v>1.4081576157380138</v>
      </c>
      <c r="CF16" s="29">
        <f t="shared" si="32"/>
        <v>1.3994953742640874</v>
      </c>
      <c r="CG16" s="12">
        <f t="shared" si="33"/>
        <v>1.760118811524177</v>
      </c>
      <c r="CH16" s="29">
        <f t="shared" si="34"/>
        <v>1.6987704918032787</v>
      </c>
      <c r="CI16" s="12">
        <f t="shared" si="35"/>
        <v>1.6177467722656005</v>
      </c>
      <c r="CJ16" s="29">
        <f t="shared" si="36"/>
        <v>1.6304347826086956</v>
      </c>
      <c r="CK16" s="12">
        <f t="shared" si="37"/>
        <v>1.7416558235240718</v>
      </c>
      <c r="CL16" s="29">
        <f t="shared" si="38"/>
        <v>1.7867036011080333</v>
      </c>
      <c r="CM16" s="12">
        <f t="shared" si="39"/>
        <v>1.4700405078432972</v>
      </c>
      <c r="CN16" s="29">
        <f t="shared" si="40"/>
        <v>1.4775725593667546</v>
      </c>
      <c r="CO16" s="12">
        <f t="shared" si="41"/>
        <v>1.7601243080508886</v>
      </c>
      <c r="CP16" s="29">
        <f t="shared" si="42"/>
        <v>1.7467532467532467</v>
      </c>
      <c r="CQ16" s="12">
        <f t="shared" si="43"/>
        <v>1.8588999612137125</v>
      </c>
      <c r="CR16" s="29">
        <f t="shared" si="44"/>
        <v>1.8205128205128205</v>
      </c>
      <c r="CS16" s="18"/>
      <c r="CT16" s="20">
        <f t="shared" si="8"/>
        <v>-0.11228965223923115</v>
      </c>
      <c r="CU16" s="33"/>
      <c r="CV16" s="34"/>
      <c r="CW16" s="30"/>
      <c r="CX16" s="31">
        <f t="shared" si="9"/>
        <v>-5.6388494319737248E-2</v>
      </c>
      <c r="CY16" s="21"/>
      <c r="CZ16" s="19">
        <f t="shared" si="10"/>
        <v>6.9356633308438109E-2</v>
      </c>
      <c r="DA16" s="21"/>
      <c r="DB16" s="19">
        <f t="shared" si="11"/>
        <v>6.1728589086406993E-2</v>
      </c>
      <c r="DC16" s="21"/>
      <c r="DD16" s="19">
        <f t="shared" si="12"/>
        <v>8.6622414739263576E-3</v>
      </c>
      <c r="DE16" s="21"/>
      <c r="DF16" s="19">
        <f t="shared" si="13"/>
        <v>6.1348319720898381E-2</v>
      </c>
      <c r="DG16" s="21"/>
      <c r="DH16" s="19">
        <f t="shared" si="14"/>
        <v>-1.268801034309508E-2</v>
      </c>
      <c r="DI16" s="21"/>
      <c r="DJ16" s="19">
        <f t="shared" si="15"/>
        <v>-4.5047777583961501E-2</v>
      </c>
      <c r="DK16" s="21"/>
      <c r="DL16" s="19">
        <f t="shared" si="16"/>
        <v>-7.5320515234573726E-3</v>
      </c>
      <c r="DM16" s="21"/>
      <c r="DN16" s="19">
        <f t="shared" si="17"/>
        <v>1.3371061297641873E-2</v>
      </c>
      <c r="DO16" s="21"/>
      <c r="DP16" s="19">
        <f t="shared" si="18"/>
        <v>3.8387140700891997E-2</v>
      </c>
    </row>
    <row r="17" spans="1:120" ht="15.75" outlineLevel="1" thickBot="1" x14ac:dyDescent="0.3">
      <c r="A17" s="14">
        <v>13</v>
      </c>
      <c r="B17" s="3">
        <v>37704</v>
      </c>
      <c r="C17" s="3">
        <v>197</v>
      </c>
      <c r="D17" s="22">
        <f>IFERROR(Tabelle3[[#This Row],[Ned (€)]]/Tabelle3[[#This Row],[Ned (Backer)]],"")</f>
        <v>191.39086294416245</v>
      </c>
      <c r="E17" s="8">
        <f t="shared" si="53"/>
        <v>87003.888888888905</v>
      </c>
      <c r="F17" s="8">
        <f t="shared" si="54"/>
        <v>528.33333333333314</v>
      </c>
      <c r="G17" s="8">
        <f t="shared" ref="G17:G24" si="61">G16+($G$25-$G$15)/10</f>
        <v>153223.20000000001</v>
      </c>
      <c r="H17" s="8">
        <f t="shared" ref="H17:H24" si="62">H16+($H$25-$H$15)/10</f>
        <v>1034.4000000000001</v>
      </c>
      <c r="I17" s="3">
        <v>89062</v>
      </c>
      <c r="J17" s="3">
        <v>386</v>
      </c>
      <c r="K17" s="22">
        <f>Tabelle3[[#This Row],[Werkzeuge (€)]]/Tabelle3[[#This Row],[Werkzeuge (Backer)]]</f>
        <v>230.73056994818654</v>
      </c>
      <c r="L17" s="3">
        <v>74079</v>
      </c>
      <c r="M17" s="3">
        <v>410</v>
      </c>
      <c r="N17" s="22">
        <f>Tabelle3[[#This Row],[DSK Fasar (€)]]/Tabelle3[[#This Row],[DSK Fasar (Backer)]]</f>
        <v>180.68048780487806</v>
      </c>
      <c r="O17" s="3">
        <v>55585</v>
      </c>
      <c r="P17" s="3">
        <v>319</v>
      </c>
      <c r="Q17" s="22">
        <f>Tabelle3[[#This Row],[Mythen (€)]]/Tabelle3[[#This Row],[Mythen (Backer)]]</f>
        <v>174.24764890282131</v>
      </c>
      <c r="R17" s="3">
        <v>172436</v>
      </c>
      <c r="S17" s="3">
        <v>1205</v>
      </c>
      <c r="T17" s="564">
        <f>Tabelle3[[#This Row],[SOK (€)]]/Tabelle3[[#This Row],[SOK (Backer)]]</f>
        <v>143.10041493775933</v>
      </c>
      <c r="U17" s="3">
        <v>229701</v>
      </c>
      <c r="V17" s="3">
        <v>1011</v>
      </c>
      <c r="W17" s="22">
        <f>Tabelle3[[#This Row],[RE (€)]]/Tabelle3[[#This Row],[RE (Backer)]]</f>
        <v>227.20178041543028</v>
      </c>
      <c r="X17" s="3">
        <v>149744</v>
      </c>
      <c r="Y17" s="3">
        <v>624</v>
      </c>
      <c r="Z17" s="22">
        <f>Tabelle3[[#This Row],[DGG (€)]]/Tabelle3[[#This Row],[DGG (Backer)]]</f>
        <v>239.97435897435898</v>
      </c>
      <c r="AA17" s="3">
        <v>68288</v>
      </c>
      <c r="AB17" s="3">
        <v>375</v>
      </c>
      <c r="AC17" s="22">
        <f>Tabelle3[[#This Row],[DSK SV (€)]]/Tabelle3[[#This Row],[DSK SV (Backer)]]</f>
        <v>182.10133333333334</v>
      </c>
      <c r="AD17" s="3">
        <v>224732</v>
      </c>
      <c r="AE17" s="3">
        <v>1159</v>
      </c>
      <c r="AF17" s="22">
        <f>Tabelle3[[#This Row],[WW (€)]]/Tabelle3[[#This Row],[WW (Backer)]]</f>
        <v>193.90163934426229</v>
      </c>
      <c r="AG17" s="3">
        <v>20809</v>
      </c>
      <c r="AH17" s="3">
        <v>155</v>
      </c>
      <c r="AI17" s="22">
        <f>Tabelle3[[#This Row],[DSK R (€)]]/Tabelle3[[#This Row],[DSK R (Backer)]]</f>
        <v>134.2516129032258</v>
      </c>
      <c r="AJ17" s="3">
        <v>139930</v>
      </c>
      <c r="AK17" s="3">
        <v>656</v>
      </c>
      <c r="AL17" s="22">
        <f>Tabelle3[[#This Row],[Ära (€)]]/Tabelle3[[#This Row],[Ära (Backer)]]</f>
        <v>213.3079268292683</v>
      </c>
      <c r="AM17" s="184">
        <f>'Übersicht &amp; Anleitung'!AS63</f>
        <v>57853</v>
      </c>
      <c r="AN17" s="184">
        <f>'Übersicht &amp; Anleitung'!AT63</f>
        <v>789</v>
      </c>
      <c r="AO17" s="22">
        <f>Tabelle3[[#This Row],[Mosaik (€)]]/Tabelle3[[#This Row],[Mosaik (Backer)]]</f>
        <v>73.324461343472748</v>
      </c>
      <c r="AZ17" s="424" t="s">
        <v>208</v>
      </c>
      <c r="BA17" s="6">
        <f t="shared" si="0"/>
        <v>80211.33452991255</v>
      </c>
      <c r="BB17" s="6">
        <f t="shared" si="1"/>
        <v>1089.5402489626556</v>
      </c>
      <c r="BC17" s="23">
        <f t="shared" si="19"/>
        <v>73.619432238764247</v>
      </c>
      <c r="BD17" s="6">
        <f t="shared" si="2"/>
        <v>110884.15882194426</v>
      </c>
      <c r="BE17" s="6">
        <f t="shared" si="3"/>
        <v>1545.2953367875648</v>
      </c>
      <c r="BF17" s="23">
        <f t="shared" si="20"/>
        <v>71.755965466417351</v>
      </c>
      <c r="BG17" s="3">
        <f t="shared" si="4"/>
        <v>95547.746675928414</v>
      </c>
      <c r="BH17" s="3">
        <f t="shared" si="5"/>
        <v>1317.4177928751101</v>
      </c>
      <c r="BI17" s="23">
        <f t="shared" si="21"/>
        <v>72.526534249553933</v>
      </c>
      <c r="BJ17" s="3">
        <f t="shared" si="22"/>
        <v>95422.133450677968</v>
      </c>
      <c r="BK17" s="3">
        <f t="shared" si="23"/>
        <v>1291.6896480824314</v>
      </c>
      <c r="BL17" s="23">
        <f t="shared" si="24"/>
        <v>73.873885721958217</v>
      </c>
      <c r="BN17" s="216" t="s">
        <v>208</v>
      </c>
      <c r="BO17" s="16">
        <f t="shared" si="55"/>
        <v>1.3864680229186481</v>
      </c>
      <c r="BP17" s="16">
        <f t="shared" si="56"/>
        <v>1.3809128630705394</v>
      </c>
      <c r="BQ17" s="397">
        <f t="shared" si="57"/>
        <v>1.916653567177921</v>
      </c>
      <c r="BR17" s="397">
        <f t="shared" si="58"/>
        <v>1.9585492227979275</v>
      </c>
      <c r="BS17" s="397">
        <f t="shared" si="59"/>
        <v>1.6493895467940809</v>
      </c>
      <c r="BT17" s="397">
        <f t="shared" si="60"/>
        <v>1.6371224944010538</v>
      </c>
      <c r="BU17" s="17">
        <f t="shared" si="6"/>
        <v>1.6535380861447062</v>
      </c>
      <c r="BV17" s="7">
        <f t="shared" si="7"/>
        <v>1.7614213197969544</v>
      </c>
      <c r="BW17" s="28"/>
      <c r="BX17" s="32"/>
      <c r="BY17" s="12">
        <f t="shared" si="25"/>
        <v>1.916653567177921</v>
      </c>
      <c r="BZ17" s="13">
        <f t="shared" si="26"/>
        <v>1.9585492227979275</v>
      </c>
      <c r="CA17" s="12">
        <f t="shared" si="27"/>
        <v>1.6697579610955871</v>
      </c>
      <c r="CB17" s="29">
        <f t="shared" si="28"/>
        <v>1.6048780487804879</v>
      </c>
      <c r="CC17" s="12">
        <f t="shared" si="29"/>
        <v>1.6189799406314653</v>
      </c>
      <c r="CD17" s="29">
        <f t="shared" si="30"/>
        <v>1.5579937304075235</v>
      </c>
      <c r="CE17" s="12">
        <f t="shared" si="31"/>
        <v>1.3864680229186481</v>
      </c>
      <c r="CF17" s="29">
        <f t="shared" si="32"/>
        <v>1.3809128630705394</v>
      </c>
      <c r="CG17" s="12">
        <f t="shared" si="33"/>
        <v>1.7000666083299594</v>
      </c>
      <c r="CH17" s="29">
        <f t="shared" si="34"/>
        <v>1.6399604352126607</v>
      </c>
      <c r="CI17" s="12">
        <f t="shared" si="35"/>
        <v>1.5455043273854043</v>
      </c>
      <c r="CJ17" s="29">
        <f t="shared" si="36"/>
        <v>1.5625</v>
      </c>
      <c r="CK17" s="12">
        <f t="shared" si="37"/>
        <v>1.6856988050609185</v>
      </c>
      <c r="CL17" s="29">
        <f t="shared" si="38"/>
        <v>1.72</v>
      </c>
      <c r="CM17" s="12">
        <f t="shared" si="39"/>
        <v>1.4436528843244398</v>
      </c>
      <c r="CN17" s="29">
        <f t="shared" si="40"/>
        <v>1.4495254529767041</v>
      </c>
      <c r="CO17" s="12">
        <f t="shared" si="41"/>
        <v>1.7419385842664232</v>
      </c>
      <c r="CP17" s="29">
        <f t="shared" si="42"/>
        <v>1.735483870967742</v>
      </c>
      <c r="CQ17" s="12">
        <f t="shared" si="43"/>
        <v>1.781026227399414</v>
      </c>
      <c r="CR17" s="29">
        <f t="shared" si="44"/>
        <v>1.7317073170731707</v>
      </c>
      <c r="CS17" s="18"/>
      <c r="CT17" s="20">
        <f t="shared" si="8"/>
        <v>-0.10788323365224817</v>
      </c>
      <c r="CU17" s="33"/>
      <c r="CV17" s="34"/>
      <c r="CW17" s="30"/>
      <c r="CX17" s="31">
        <f t="shared" si="9"/>
        <v>-4.1895655620006522E-2</v>
      </c>
      <c r="CY17" s="21"/>
      <c r="CZ17" s="19">
        <f t="shared" si="10"/>
        <v>6.4879912315099153E-2</v>
      </c>
      <c r="DA17" s="21"/>
      <c r="DB17" s="19">
        <f t="shared" si="11"/>
        <v>6.0986210223941795E-2</v>
      </c>
      <c r="DC17" s="21"/>
      <c r="DD17" s="19">
        <f t="shared" si="12"/>
        <v>5.5551598481087261E-3</v>
      </c>
      <c r="DE17" s="21"/>
      <c r="DF17" s="19">
        <f t="shared" si="13"/>
        <v>6.0106173117298711E-2</v>
      </c>
      <c r="DG17" s="21"/>
      <c r="DH17" s="19">
        <f t="shared" si="14"/>
        <v>-1.6995672614595669E-2</v>
      </c>
      <c r="DI17" s="21"/>
      <c r="DJ17" s="19">
        <f t="shared" si="15"/>
        <v>-3.4301194939081459E-2</v>
      </c>
      <c r="DK17" s="21"/>
      <c r="DL17" s="19">
        <f t="shared" si="16"/>
        <v>-5.8725686522642651E-3</v>
      </c>
      <c r="DM17" s="21"/>
      <c r="DN17" s="19">
        <f t="shared" si="17"/>
        <v>6.4547132986811917E-3</v>
      </c>
      <c r="DO17" s="21"/>
      <c r="DP17" s="19">
        <f t="shared" si="18"/>
        <v>4.9318910326243248E-2</v>
      </c>
    </row>
    <row r="18" spans="1:120" ht="15.75" outlineLevel="1" thickBot="1" x14ac:dyDescent="0.3">
      <c r="A18" s="14">
        <v>14</v>
      </c>
      <c r="B18" s="3">
        <v>38541</v>
      </c>
      <c r="C18" s="3">
        <v>205</v>
      </c>
      <c r="D18" s="22">
        <f>IFERROR(Tabelle3[[#This Row],[Ned (€)]]/Tabelle3[[#This Row],[Ned (Backer)]],"")</f>
        <v>188.00487804878048</v>
      </c>
      <c r="E18" s="8">
        <f t="shared" si="53"/>
        <v>91104.277777777796</v>
      </c>
      <c r="F18" s="8">
        <f t="shared" si="54"/>
        <v>551.16666666666652</v>
      </c>
      <c r="G18" s="8">
        <f t="shared" si="61"/>
        <v>167334.80000000002</v>
      </c>
      <c r="H18" s="8">
        <f t="shared" si="62"/>
        <v>1101.6000000000001</v>
      </c>
      <c r="I18" s="3">
        <v>93109</v>
      </c>
      <c r="J18" s="3">
        <v>403</v>
      </c>
      <c r="K18" s="22">
        <f>Tabelle3[[#This Row],[Werkzeuge (€)]]/Tabelle3[[#This Row],[Werkzeuge (Backer)]]</f>
        <v>231.03970223325061</v>
      </c>
      <c r="L18" s="3">
        <v>75411</v>
      </c>
      <c r="M18" s="3">
        <v>417</v>
      </c>
      <c r="N18" s="22">
        <f>Tabelle3[[#This Row],[DSK Fasar (€)]]/Tabelle3[[#This Row],[DSK Fasar (Backer)]]</f>
        <v>180.84172661870502</v>
      </c>
      <c r="O18" s="3">
        <v>57658</v>
      </c>
      <c r="P18" s="3">
        <v>330</v>
      </c>
      <c r="Q18" s="22">
        <f>Tabelle3[[#This Row],[Mythen (€)]]/Tabelle3[[#This Row],[Mythen (Backer)]]</f>
        <v>174.72121212121212</v>
      </c>
      <c r="R18" s="3">
        <v>176629</v>
      </c>
      <c r="S18" s="3">
        <v>1232</v>
      </c>
      <c r="T18" s="22">
        <f>Tabelle3[[#This Row],[SOK (€)]]/Tabelle3[[#This Row],[SOK (Backer)]]</f>
        <v>143.36769480519482</v>
      </c>
      <c r="U18" s="3">
        <v>240791</v>
      </c>
      <c r="V18" s="3">
        <v>1060</v>
      </c>
      <c r="W18" s="22">
        <f>Tabelle3[[#This Row],[RE (€)]]/Tabelle3[[#This Row],[RE (Backer)]]</f>
        <v>227.16132075471697</v>
      </c>
      <c r="X18" s="3">
        <v>155980</v>
      </c>
      <c r="Y18" s="3">
        <v>650</v>
      </c>
      <c r="Z18" s="22">
        <f>Tabelle3[[#This Row],[DGG (€)]]/Tabelle3[[#This Row],[DGG (Backer)]]</f>
        <v>239.96923076923076</v>
      </c>
      <c r="AA18" s="3">
        <v>71648</v>
      </c>
      <c r="AB18" s="3">
        <v>395</v>
      </c>
      <c r="AC18" s="22">
        <f>Tabelle3[[#This Row],[DSK SV (€)]]/Tabelle3[[#This Row],[DSK SV (Backer)]]</f>
        <v>181.3873417721519</v>
      </c>
      <c r="AD18" s="3">
        <v>232641</v>
      </c>
      <c r="AE18" s="3">
        <v>1207</v>
      </c>
      <c r="AF18" s="22">
        <f>Tabelle3[[#This Row],[WW (€)]]/Tabelle3[[#This Row],[WW (Backer)]]</f>
        <v>192.74316487158242</v>
      </c>
      <c r="AG18" s="3">
        <v>21426</v>
      </c>
      <c r="AH18" s="3">
        <v>159</v>
      </c>
      <c r="AI18" s="22">
        <f>Tabelle3[[#This Row],[DSK R (€)]]/Tabelle3[[#This Row],[DSK R (Backer)]]</f>
        <v>134.75471698113208</v>
      </c>
      <c r="AJ18" s="3">
        <v>148846</v>
      </c>
      <c r="AK18" s="3">
        <v>696</v>
      </c>
      <c r="AL18" s="22">
        <f>Tabelle3[[#This Row],[Ära (€)]]/Tabelle3[[#This Row],[Ära (Backer)]]</f>
        <v>213.85919540229884</v>
      </c>
      <c r="AM18" s="184">
        <f>'Übersicht &amp; Anleitung'!AS64</f>
        <v>59064</v>
      </c>
      <c r="AN18" s="184">
        <f>'Übersicht &amp; Anleitung'!AT64</f>
        <v>806</v>
      </c>
      <c r="AO18" s="22">
        <f>Tabelle3[[#This Row],[Mosaik (€)]]/Tabelle3[[#This Row],[Mosaik (Backer)]]</f>
        <v>73.280397022332508</v>
      </c>
      <c r="AZ18" s="424" t="s">
        <v>209</v>
      </c>
      <c r="BA18" s="6">
        <f t="shared" si="0"/>
        <v>79946.350418108006</v>
      </c>
      <c r="BB18" s="6">
        <f t="shared" si="1"/>
        <v>1088.6233766233765</v>
      </c>
      <c r="BC18" s="23">
        <f t="shared" si="19"/>
        <v>73.438024696916358</v>
      </c>
      <c r="BD18" s="6">
        <f t="shared" si="2"/>
        <v>108284.74007883233</v>
      </c>
      <c r="BE18" s="6">
        <f t="shared" si="3"/>
        <v>1512</v>
      </c>
      <c r="BF18" s="23">
        <f t="shared" si="20"/>
        <v>71.61689158652932</v>
      </c>
      <c r="BG18" s="3">
        <f t="shared" si="4"/>
        <v>94115.545248470167</v>
      </c>
      <c r="BH18" s="3">
        <f t="shared" si="5"/>
        <v>1300.3116883116882</v>
      </c>
      <c r="BI18" s="23">
        <f t="shared" si="21"/>
        <v>72.379219609006867</v>
      </c>
      <c r="BJ18" s="3">
        <f t="shared" si="22"/>
        <v>93849.40015065133</v>
      </c>
      <c r="BK18" s="3">
        <f t="shared" si="23"/>
        <v>1272.1926556412814</v>
      </c>
      <c r="BL18" s="23">
        <f t="shared" si="24"/>
        <v>73.769801872770699</v>
      </c>
      <c r="BN18" s="216" t="s">
        <v>209</v>
      </c>
      <c r="BO18" s="16">
        <f t="shared" si="55"/>
        <v>1.3535546257975757</v>
      </c>
      <c r="BP18" s="16">
        <f t="shared" si="56"/>
        <v>1.3506493506493507</v>
      </c>
      <c r="BQ18" s="397">
        <f t="shared" si="57"/>
        <v>1.8333458634503645</v>
      </c>
      <c r="BR18" s="397">
        <f t="shared" si="58"/>
        <v>1.8759305210918114</v>
      </c>
      <c r="BS18" s="397">
        <f t="shared" si="59"/>
        <v>1.5889441986768815</v>
      </c>
      <c r="BT18" s="397">
        <f t="shared" si="60"/>
        <v>1.5784027985623839</v>
      </c>
      <c r="BU18" s="17">
        <f t="shared" si="6"/>
        <v>1.6176279805920968</v>
      </c>
      <c r="BV18" s="7">
        <f t="shared" si="7"/>
        <v>1.6926829268292682</v>
      </c>
      <c r="BW18" s="28"/>
      <c r="BX18" s="32"/>
      <c r="BY18" s="12">
        <f t="shared" si="25"/>
        <v>1.8333458634503645</v>
      </c>
      <c r="BZ18" s="13">
        <f t="shared" si="26"/>
        <v>1.8759305210918114</v>
      </c>
      <c r="CA18" s="12">
        <f t="shared" si="27"/>
        <v>1.6402646828711991</v>
      </c>
      <c r="CB18" s="29">
        <f t="shared" si="28"/>
        <v>1.5779376498800959</v>
      </c>
      <c r="CC18" s="12">
        <f t="shared" si="29"/>
        <v>1.5607721391654237</v>
      </c>
      <c r="CD18" s="29">
        <f t="shared" si="30"/>
        <v>1.5060606060606061</v>
      </c>
      <c r="CE18" s="12">
        <f t="shared" si="31"/>
        <v>1.3535546257975757</v>
      </c>
      <c r="CF18" s="29">
        <f t="shared" si="32"/>
        <v>1.3506493506493507</v>
      </c>
      <c r="CG18" s="12">
        <f t="shared" si="33"/>
        <v>1.6217674248622249</v>
      </c>
      <c r="CH18" s="29">
        <f t="shared" si="34"/>
        <v>1.5641509433962264</v>
      </c>
      <c r="CI18" s="12">
        <f t="shared" si="35"/>
        <v>1.4837158610078216</v>
      </c>
      <c r="CJ18" s="29">
        <f t="shared" si="36"/>
        <v>1.5</v>
      </c>
      <c r="CK18" s="12">
        <f t="shared" si="37"/>
        <v>1.6066463823135329</v>
      </c>
      <c r="CL18" s="29">
        <f t="shared" si="38"/>
        <v>1.6329113924050633</v>
      </c>
      <c r="CM18" s="12">
        <f t="shared" si="39"/>
        <v>1.3945736134215378</v>
      </c>
      <c r="CN18" s="29">
        <f t="shared" si="40"/>
        <v>1.391880695940348</v>
      </c>
      <c r="CO18" s="12">
        <f t="shared" si="41"/>
        <v>1.6917763464949127</v>
      </c>
      <c r="CP18" s="29">
        <f t="shared" si="42"/>
        <v>1.6918238993710693</v>
      </c>
      <c r="CQ18" s="12">
        <f t="shared" si="43"/>
        <v>1.6743412654690082</v>
      </c>
      <c r="CR18" s="29">
        <f t="shared" si="44"/>
        <v>1.632183908045977</v>
      </c>
      <c r="CS18" s="18"/>
      <c r="CT18" s="20">
        <f t="shared" si="8"/>
        <v>-7.505494623717146E-2</v>
      </c>
      <c r="CU18" s="33"/>
      <c r="CV18" s="34"/>
      <c r="CW18" s="30"/>
      <c r="CX18" s="31">
        <f t="shared" si="9"/>
        <v>-4.258465764144681E-2</v>
      </c>
      <c r="CY18" s="21"/>
      <c r="CZ18" s="19">
        <f t="shared" si="10"/>
        <v>6.2327032991103204E-2</v>
      </c>
      <c r="DA18" s="21"/>
      <c r="DB18" s="19">
        <f t="shared" si="11"/>
        <v>5.4711533104817578E-2</v>
      </c>
      <c r="DC18" s="21"/>
      <c r="DD18" s="19">
        <f t="shared" si="12"/>
        <v>2.9052751482250283E-3</v>
      </c>
      <c r="DE18" s="21"/>
      <c r="DF18" s="19">
        <f t="shared" si="13"/>
        <v>5.7616481465998515E-2</v>
      </c>
      <c r="DG18" s="21"/>
      <c r="DH18" s="19">
        <f t="shared" si="14"/>
        <v>-1.6284138992178399E-2</v>
      </c>
      <c r="DI18" s="21"/>
      <c r="DJ18" s="19">
        <f t="shared" si="15"/>
        <v>-2.6265010091530483E-2</v>
      </c>
      <c r="DK18" s="21"/>
      <c r="DL18" s="19">
        <f t="shared" si="16"/>
        <v>2.6929174811898271E-3</v>
      </c>
      <c r="DM18" s="21"/>
      <c r="DN18" s="19">
        <f t="shared" si="17"/>
        <v>-4.7552876156542467E-5</v>
      </c>
      <c r="DO18" s="21"/>
      <c r="DP18" s="19">
        <f t="shared" si="18"/>
        <v>4.2157357423031172E-2</v>
      </c>
    </row>
    <row r="19" spans="1:120" ht="15.75" outlineLevel="1" thickBot="1" x14ac:dyDescent="0.3">
      <c r="A19" s="14">
        <v>15</v>
      </c>
      <c r="B19" s="3">
        <v>40401</v>
      </c>
      <c r="C19" s="3">
        <v>214</v>
      </c>
      <c r="D19" s="22">
        <f>IFERROR(Tabelle3[[#This Row],[Ned (€)]]/Tabelle3[[#This Row],[Ned (Backer)]],"")</f>
        <v>188.78971962616822</v>
      </c>
      <c r="E19" s="8">
        <f t="shared" si="53"/>
        <v>95204.666666666686</v>
      </c>
      <c r="F19" s="8">
        <f t="shared" si="54"/>
        <v>573.99999999999989</v>
      </c>
      <c r="G19" s="8">
        <f t="shared" si="61"/>
        <v>181446.40000000002</v>
      </c>
      <c r="H19" s="8">
        <f t="shared" si="62"/>
        <v>1168.8000000000002</v>
      </c>
      <c r="I19" s="3">
        <v>97466</v>
      </c>
      <c r="J19" s="3">
        <v>422</v>
      </c>
      <c r="K19" s="22">
        <f>Tabelle3[[#This Row],[Werkzeuge (€)]]/Tabelle3[[#This Row],[Werkzeuge (Backer)]]</f>
        <v>230.96208530805688</v>
      </c>
      <c r="L19" s="3">
        <v>77016</v>
      </c>
      <c r="M19" s="3">
        <v>427</v>
      </c>
      <c r="N19" s="22">
        <f>Tabelle3[[#This Row],[DSK Fasar (€)]]/Tabelle3[[#This Row],[DSK Fasar (Backer)]]</f>
        <v>180.36533957845432</v>
      </c>
      <c r="O19" s="3">
        <v>59154</v>
      </c>
      <c r="P19" s="3">
        <v>337</v>
      </c>
      <c r="Q19" s="22">
        <f>Tabelle3[[#This Row],[Mythen (€)]]/Tabelle3[[#This Row],[Mythen (Backer)]]</f>
        <v>175.53115727002967</v>
      </c>
      <c r="R19" s="3">
        <v>188273</v>
      </c>
      <c r="S19" s="3">
        <v>1313</v>
      </c>
      <c r="T19" s="22">
        <f>Tabelle3[[#This Row],[SOK (€)]]/Tabelle3[[#This Row],[SOK (Backer)]]</f>
        <v>143.39146991622241</v>
      </c>
      <c r="U19" s="3">
        <v>249000</v>
      </c>
      <c r="V19" s="3">
        <v>1096</v>
      </c>
      <c r="W19" s="22">
        <f>Tabelle3[[#This Row],[RE (€)]]/Tabelle3[[#This Row],[RE (Backer)]]</f>
        <v>227.1897810218978</v>
      </c>
      <c r="X19" s="3">
        <v>165152</v>
      </c>
      <c r="Y19" s="3">
        <v>690</v>
      </c>
      <c r="Z19" s="22">
        <f>Tabelle3[[#This Row],[DGG (€)]]/Tabelle3[[#This Row],[DGG (Backer)]]</f>
        <v>239.35072463768117</v>
      </c>
      <c r="AA19" s="3">
        <v>75191</v>
      </c>
      <c r="AB19" s="3">
        <v>415</v>
      </c>
      <c r="AC19" s="22">
        <f>Tabelle3[[#This Row],[DSK SV (€)]]/Tabelle3[[#This Row],[DSK SV (Backer)]]</f>
        <v>181.18313253012047</v>
      </c>
      <c r="AD19" s="3">
        <v>242719</v>
      </c>
      <c r="AE19" s="3">
        <v>1257</v>
      </c>
      <c r="AF19" s="564">
        <f>Tabelle3[[#This Row],[WW (€)]]/Tabelle3[[#This Row],[WW (Backer)]]</f>
        <v>193.09387430389816</v>
      </c>
      <c r="AG19" s="3">
        <v>22523</v>
      </c>
      <c r="AH19" s="3">
        <v>164</v>
      </c>
      <c r="AI19" s="22">
        <f>Tabelle3[[#This Row],[DSK R (€)]]/Tabelle3[[#This Row],[DSK R (Backer)]]</f>
        <v>137.33536585365854</v>
      </c>
      <c r="AJ19" s="3">
        <v>159815</v>
      </c>
      <c r="AK19" s="3">
        <v>727</v>
      </c>
      <c r="AL19" s="564">
        <f>Tabelle3[[#This Row],[Ära (€)]]/Tabelle3[[#This Row],[Ära (Backer)]]</f>
        <v>219.82806052269601</v>
      </c>
      <c r="AM19" s="184">
        <f>'Übersicht &amp; Anleitung'!AS65</f>
        <v>60362</v>
      </c>
      <c r="AN19" s="184">
        <f>'Übersicht &amp; Anleitung'!AT65</f>
        <v>825</v>
      </c>
      <c r="AO19" s="22">
        <f>Tabelle3[[#This Row],[Mosaik (€)]]/Tabelle3[[#This Row],[Mosaik (Backer)]]</f>
        <v>73.166060606060611</v>
      </c>
      <c r="AY19" s="216"/>
      <c r="AZ19" s="424" t="s">
        <v>210</v>
      </c>
      <c r="BA19" s="6">
        <f t="shared" si="0"/>
        <v>76650.214709491003</v>
      </c>
      <c r="BB19" s="6">
        <f t="shared" si="1"/>
        <v>1045.5445544554455</v>
      </c>
      <c r="BC19" s="23">
        <f t="shared" si="19"/>
        <v>73.31128490207</v>
      </c>
      <c r="BD19" s="6">
        <f t="shared" si="2"/>
        <v>105717.41696591632</v>
      </c>
      <c r="BE19" s="6">
        <f t="shared" si="3"/>
        <v>1477.9620853080569</v>
      </c>
      <c r="BF19" s="23">
        <f t="shared" si="20"/>
        <v>71.529180631099379</v>
      </c>
      <c r="BG19" s="3">
        <f t="shared" si="4"/>
        <v>91183.81583770366</v>
      </c>
      <c r="BH19" s="3">
        <f t="shared" si="5"/>
        <v>1261.7533198817512</v>
      </c>
      <c r="BI19" s="23">
        <f t="shared" si="21"/>
        <v>72.2675458038416</v>
      </c>
      <c r="BJ19" s="3">
        <f t="shared" si="22"/>
        <v>91628.391680658373</v>
      </c>
      <c r="BK19" s="3">
        <f t="shared" si="23"/>
        <v>1250.1097778929206</v>
      </c>
      <c r="BL19" s="23">
        <f t="shared" si="24"/>
        <v>73.296276295910147</v>
      </c>
      <c r="BM19" s="216"/>
      <c r="BN19" s="216" t="s">
        <v>210</v>
      </c>
      <c r="BO19" s="16">
        <f t="shared" si="55"/>
        <v>1.2698421972348664</v>
      </c>
      <c r="BP19" s="16">
        <f t="shared" si="56"/>
        <v>1.2673267326732673</v>
      </c>
      <c r="BQ19" s="397">
        <f t="shared" si="57"/>
        <v>1.751390228387335</v>
      </c>
      <c r="BR19" s="397">
        <f t="shared" si="58"/>
        <v>1.7914691943127963</v>
      </c>
      <c r="BS19" s="397">
        <f t="shared" si="59"/>
        <v>1.5179813737228451</v>
      </c>
      <c r="BT19" s="397">
        <f t="shared" si="60"/>
        <v>1.5152845792641463</v>
      </c>
      <c r="BU19" s="17">
        <f t="shared" si="6"/>
        <v>1.5431548724041484</v>
      </c>
      <c r="BV19" s="7">
        <f t="shared" si="7"/>
        <v>1.6214953271028036</v>
      </c>
      <c r="BW19" s="28"/>
      <c r="BX19" s="32"/>
      <c r="BY19" s="12">
        <f t="shared" si="25"/>
        <v>1.751390228387335</v>
      </c>
      <c r="BZ19" s="13">
        <f t="shared" si="26"/>
        <v>1.7914691943127963</v>
      </c>
      <c r="CA19" s="12">
        <f t="shared" si="27"/>
        <v>1.6060818531214294</v>
      </c>
      <c r="CB19" s="29">
        <f t="shared" si="28"/>
        <v>1.540983606557377</v>
      </c>
      <c r="CC19" s="12">
        <f t="shared" si="29"/>
        <v>1.5213003347195455</v>
      </c>
      <c r="CD19" s="29">
        <f t="shared" si="30"/>
        <v>1.4747774480712166</v>
      </c>
      <c r="CE19" s="12">
        <f t="shared" si="31"/>
        <v>1.2698421972348664</v>
      </c>
      <c r="CF19" s="29">
        <f t="shared" si="32"/>
        <v>1.2673267326732673</v>
      </c>
      <c r="CG19" s="12">
        <f t="shared" si="33"/>
        <v>1.568301204819277</v>
      </c>
      <c r="CH19" s="29">
        <f t="shared" si="34"/>
        <v>1.5127737226277371</v>
      </c>
      <c r="CI19" s="12">
        <f t="shared" si="35"/>
        <v>1.4013151521023057</v>
      </c>
      <c r="CJ19" s="29">
        <f t="shared" si="36"/>
        <v>1.4130434782608696</v>
      </c>
      <c r="CK19" s="12">
        <f t="shared" si="37"/>
        <v>1.5309412030695162</v>
      </c>
      <c r="CL19" s="29">
        <f t="shared" si="38"/>
        <v>1.5542168674698795</v>
      </c>
      <c r="CM19" s="12">
        <f t="shared" si="39"/>
        <v>1.3366691523943326</v>
      </c>
      <c r="CN19" s="29">
        <f t="shared" si="40"/>
        <v>1.3365155131264916</v>
      </c>
      <c r="CO19" s="12">
        <f t="shared" si="41"/>
        <v>1.6093770812058785</v>
      </c>
      <c r="CP19" s="29">
        <f t="shared" si="42"/>
        <v>1.6402439024390243</v>
      </c>
      <c r="CQ19" s="12">
        <f t="shared" si="43"/>
        <v>1.5594218314926633</v>
      </c>
      <c r="CR19" s="29">
        <f t="shared" si="44"/>
        <v>1.5625859697386519</v>
      </c>
      <c r="CS19" s="18"/>
      <c r="CT19" s="20">
        <f t="shared" si="8"/>
        <v>-7.8340454698655249E-2</v>
      </c>
      <c r="CU19" s="33"/>
      <c r="CV19" s="34"/>
      <c r="CW19" s="30"/>
      <c r="CX19" s="31">
        <f t="shared" si="9"/>
        <v>-4.007896592546123E-2</v>
      </c>
      <c r="CY19" s="21"/>
      <c r="CZ19" s="19">
        <f t="shared" si="10"/>
        <v>6.5098246564052387E-2</v>
      </c>
      <c r="DA19" s="21"/>
      <c r="DB19" s="19">
        <f t="shared" si="11"/>
        <v>4.6522886648328932E-2</v>
      </c>
      <c r="DC19" s="21"/>
      <c r="DD19" s="19">
        <f t="shared" si="12"/>
        <v>2.5154645615990123E-3</v>
      </c>
      <c r="DE19" s="21"/>
      <c r="DF19" s="19">
        <f t="shared" si="13"/>
        <v>5.5527482191539912E-2</v>
      </c>
      <c r="DG19" s="21"/>
      <c r="DH19" s="19">
        <f t="shared" si="14"/>
        <v>-1.1728326158563895E-2</v>
      </c>
      <c r="DI19" s="21"/>
      <c r="DJ19" s="19">
        <f t="shared" si="15"/>
        <v>-2.3275664400363327E-2</v>
      </c>
      <c r="DK19" s="21"/>
      <c r="DL19" s="19">
        <f t="shared" si="16"/>
        <v>1.5363926784095483E-4</v>
      </c>
      <c r="DM19" s="21"/>
      <c r="DN19" s="19">
        <f t="shared" si="17"/>
        <v>-3.0866821233145769E-2</v>
      </c>
      <c r="DO19" s="21"/>
      <c r="DP19" s="19">
        <f t="shared" si="18"/>
        <v>-3.1641382459886014E-3</v>
      </c>
    </row>
    <row r="20" spans="1:120" ht="15.75" outlineLevel="1" thickBot="1" x14ac:dyDescent="0.3">
      <c r="A20" s="14">
        <v>16</v>
      </c>
      <c r="B20" s="3">
        <v>42277</v>
      </c>
      <c r="C20" s="3">
        <v>224</v>
      </c>
      <c r="D20" s="22">
        <f>IFERROR(Tabelle3[[#This Row],[Ned (€)]]/Tabelle3[[#This Row],[Ned (Backer)]],"")</f>
        <v>188.73660714285714</v>
      </c>
      <c r="E20" s="8">
        <f t="shared" si="53"/>
        <v>99305.055555555577</v>
      </c>
      <c r="F20" s="8">
        <f t="shared" si="54"/>
        <v>596.83333333333326</v>
      </c>
      <c r="G20" s="8">
        <f t="shared" si="61"/>
        <v>195558.00000000003</v>
      </c>
      <c r="H20" s="8">
        <f t="shared" si="62"/>
        <v>1236.0000000000002</v>
      </c>
      <c r="I20" s="3">
        <v>103452</v>
      </c>
      <c r="J20" s="3">
        <v>445</v>
      </c>
      <c r="K20" s="564">
        <f>Tabelle3[[#This Row],[Werkzeuge (€)]]/Tabelle3[[#This Row],[Werkzeuge (Backer)]]</f>
        <v>232.47640449438202</v>
      </c>
      <c r="L20" s="3">
        <v>80049</v>
      </c>
      <c r="M20" s="3">
        <v>444</v>
      </c>
      <c r="N20" s="22">
        <f>Tabelle3[[#This Row],[DSK Fasar (€)]]/Tabelle3[[#This Row],[DSK Fasar (Backer)]]</f>
        <v>180.29054054054055</v>
      </c>
      <c r="O20" s="3">
        <v>61842</v>
      </c>
      <c r="P20" s="3">
        <v>349</v>
      </c>
      <c r="Q20" s="22">
        <f>Tabelle3[[#This Row],[Mythen (€)]]/Tabelle3[[#This Row],[Mythen (Backer)]]</f>
        <v>177.19770773638967</v>
      </c>
      <c r="R20" s="3">
        <v>193264</v>
      </c>
      <c r="S20" s="3">
        <v>1350</v>
      </c>
      <c r="T20" s="22">
        <f>Tabelle3[[#This Row],[SOK (€)]]/Tabelle3[[#This Row],[SOK (Backer)]]</f>
        <v>143.15851851851852</v>
      </c>
      <c r="U20" s="3">
        <v>257666</v>
      </c>
      <c r="V20" s="3">
        <v>1134</v>
      </c>
      <c r="W20" s="22">
        <f>Tabelle3[[#This Row],[RE (€)]]/Tabelle3[[#This Row],[RE (Backer)]]</f>
        <v>227.21869488536154</v>
      </c>
      <c r="X20" s="3">
        <v>174081</v>
      </c>
      <c r="Y20" s="3">
        <v>729</v>
      </c>
      <c r="Z20" s="22">
        <f>Tabelle3[[#This Row],[DGG (€)]]/Tabelle3[[#This Row],[DGG (Backer)]]</f>
        <v>238.79423868312756</v>
      </c>
      <c r="AA20" s="3">
        <v>78668</v>
      </c>
      <c r="AB20" s="3">
        <v>438</v>
      </c>
      <c r="AC20" s="22">
        <f>Tabelle3[[#This Row],[DSK SV (€)]]/Tabelle3[[#This Row],[DSK SV (Backer)]]</f>
        <v>179.60730593607306</v>
      </c>
      <c r="AD20" s="3">
        <v>251181</v>
      </c>
      <c r="AE20" s="3">
        <v>1301</v>
      </c>
      <c r="AF20" s="22">
        <f>Tabelle3[[#This Row],[WW (€)]]/Tabelle3[[#This Row],[WW (Backer)]]</f>
        <v>193.06764027671022</v>
      </c>
      <c r="AG20" s="3">
        <v>23503</v>
      </c>
      <c r="AH20" s="3">
        <v>172</v>
      </c>
      <c r="AI20" s="22">
        <f>Tabelle3[[#This Row],[DSK R (€)]]/Tabelle3[[#This Row],[DSK R (Backer)]]</f>
        <v>136.6453488372093</v>
      </c>
      <c r="AJ20" s="3">
        <v>167089</v>
      </c>
      <c r="AK20" s="3">
        <v>758</v>
      </c>
      <c r="AL20" s="22">
        <f>Tabelle3[[#This Row],[Ära (€)]]/Tabelle3[[#This Row],[Ära (Backer)]]</f>
        <v>220.43403693931398</v>
      </c>
      <c r="AM20" s="184">
        <f>'Übersicht &amp; Anleitung'!AS66</f>
        <v>61360</v>
      </c>
      <c r="AN20" s="184">
        <f>'Übersicht &amp; Anleitung'!AT66</f>
        <v>836</v>
      </c>
      <c r="AO20" s="22">
        <f>Tabelle3[[#This Row],[Mosaik (€)]]/Tabelle3[[#This Row],[Mosaik (Backer)]]</f>
        <v>73.397129186602868</v>
      </c>
      <c r="AZ20" s="424" t="s">
        <v>211</v>
      </c>
      <c r="BA20" s="6">
        <f t="shared" si="0"/>
        <v>75905.314595579097</v>
      </c>
      <c r="BB20" s="6">
        <f t="shared" si="1"/>
        <v>1030.4474074074076</v>
      </c>
      <c r="BC20" s="23">
        <f t="shared" si="19"/>
        <v>73.662482966069945</v>
      </c>
      <c r="BD20" s="6">
        <f t="shared" si="2"/>
        <v>101247.08425163361</v>
      </c>
      <c r="BE20" s="6">
        <f t="shared" si="3"/>
        <v>1420.2606741573034</v>
      </c>
      <c r="BF20" s="23">
        <f t="shared" si="20"/>
        <v>71.287677039785322</v>
      </c>
      <c r="BG20" s="3">
        <f t="shared" si="4"/>
        <v>88576.199423606362</v>
      </c>
      <c r="BH20" s="3">
        <f t="shared" si="5"/>
        <v>1225.3540407823555</v>
      </c>
      <c r="BI20" s="23">
        <f t="shared" si="21"/>
        <v>72.28620992431938</v>
      </c>
      <c r="BJ20" s="3">
        <f t="shared" si="22"/>
        <v>89228.01749839072</v>
      </c>
      <c r="BK20" s="3">
        <f t="shared" si="23"/>
        <v>1213.3726722404685</v>
      </c>
      <c r="BL20" s="23">
        <f t="shared" si="24"/>
        <v>73.537190625558551</v>
      </c>
      <c r="BN20" s="216" t="s">
        <v>211</v>
      </c>
      <c r="BO20" s="16">
        <f t="shared" si="55"/>
        <v>1.2370488037089162</v>
      </c>
      <c r="BP20" s="16">
        <f t="shared" si="56"/>
        <v>1.2325925925925927</v>
      </c>
      <c r="BQ20" s="397">
        <f t="shared" si="57"/>
        <v>1.6500502648571318</v>
      </c>
      <c r="BR20" s="397">
        <f t="shared" si="58"/>
        <v>1.698876404494382</v>
      </c>
      <c r="BS20" s="397">
        <f t="shared" si="59"/>
        <v>1.4541723842632126</v>
      </c>
      <c r="BT20" s="397">
        <f t="shared" si="60"/>
        <v>1.451402717990991</v>
      </c>
      <c r="BU20" s="17">
        <f t="shared" si="6"/>
        <v>1.4746789034226648</v>
      </c>
      <c r="BV20" s="7">
        <f t="shared" si="7"/>
        <v>1.5491071428571428</v>
      </c>
      <c r="BW20" s="28"/>
      <c r="BX20" s="32"/>
      <c r="BY20" s="12">
        <f t="shared" si="25"/>
        <v>1.6500502648571318</v>
      </c>
      <c r="BZ20" s="13">
        <f t="shared" si="26"/>
        <v>1.698876404494382</v>
      </c>
      <c r="CA20" s="12">
        <f t="shared" si="27"/>
        <v>1.5452285475146472</v>
      </c>
      <c r="CB20" s="29">
        <f t="shared" si="28"/>
        <v>1.4819819819819819</v>
      </c>
      <c r="CC20" s="12">
        <f t="shared" si="29"/>
        <v>1.4551760939167555</v>
      </c>
      <c r="CD20" s="29">
        <f t="shared" si="30"/>
        <v>1.4240687679083095</v>
      </c>
      <c r="CE20" s="12">
        <f t="shared" si="31"/>
        <v>1.2370488037089162</v>
      </c>
      <c r="CF20" s="29">
        <f t="shared" si="32"/>
        <v>1.2325925925925927</v>
      </c>
      <c r="CG20" s="12">
        <f t="shared" si="33"/>
        <v>1.5155550208409336</v>
      </c>
      <c r="CH20" s="29">
        <f t="shared" si="34"/>
        <v>1.4620811287477955</v>
      </c>
      <c r="CI20" s="12">
        <f t="shared" si="35"/>
        <v>1.3294385946771905</v>
      </c>
      <c r="CJ20" s="29">
        <f t="shared" si="36"/>
        <v>1.3374485596707819</v>
      </c>
      <c r="CK20" s="12">
        <f t="shared" si="37"/>
        <v>1.4632760461687091</v>
      </c>
      <c r="CL20" s="29">
        <f t="shared" si="38"/>
        <v>1.4726027397260273</v>
      </c>
      <c r="CM20" s="12">
        <f t="shared" si="39"/>
        <v>1.291638300667646</v>
      </c>
      <c r="CN20" s="29">
        <f t="shared" si="40"/>
        <v>1.2913143735588009</v>
      </c>
      <c r="CO20" s="12">
        <f t="shared" si="41"/>
        <v>1.5422711994213505</v>
      </c>
      <c r="CP20" s="29">
        <f t="shared" si="42"/>
        <v>1.5639534883720929</v>
      </c>
      <c r="CQ20" s="12">
        <f t="shared" si="43"/>
        <v>1.4915344516993938</v>
      </c>
      <c r="CR20" s="29">
        <f t="shared" si="44"/>
        <v>1.4986807387862797</v>
      </c>
      <c r="CS20" s="18"/>
      <c r="CT20" s="20">
        <f t="shared" si="8"/>
        <v>-7.4428239434477961E-2</v>
      </c>
      <c r="CU20" s="33"/>
      <c r="CV20" s="34"/>
      <c r="CW20" s="30"/>
      <c r="CX20" s="31">
        <f t="shared" si="9"/>
        <v>-4.8826139637250243E-2</v>
      </c>
      <c r="CY20" s="21"/>
      <c r="CZ20" s="19">
        <f t="shared" si="10"/>
        <v>6.3246565532665278E-2</v>
      </c>
      <c r="DA20" s="21"/>
      <c r="DB20" s="19">
        <f t="shared" si="11"/>
        <v>3.1107326008446012E-2</v>
      </c>
      <c r="DC20" s="21"/>
      <c r="DD20" s="19">
        <f t="shared" si="12"/>
        <v>4.4562111163235496E-3</v>
      </c>
      <c r="DE20" s="21"/>
      <c r="DF20" s="19">
        <f t="shared" si="13"/>
        <v>5.3473892093138131E-2</v>
      </c>
      <c r="DG20" s="21"/>
      <c r="DH20" s="19">
        <f t="shared" si="14"/>
        <v>-8.0099649935914119E-3</v>
      </c>
      <c r="DI20" s="21"/>
      <c r="DJ20" s="19">
        <f t="shared" si="15"/>
        <v>-9.3266935573181886E-3</v>
      </c>
      <c r="DK20" s="21"/>
      <c r="DL20" s="19">
        <f t="shared" si="16"/>
        <v>3.2392710884510123E-4</v>
      </c>
      <c r="DM20" s="21"/>
      <c r="DN20" s="19">
        <f t="shared" si="17"/>
        <v>-2.1682288950742423E-2</v>
      </c>
      <c r="DO20" s="21"/>
      <c r="DP20" s="19">
        <f t="shared" si="18"/>
        <v>-7.1462870868859163E-3</v>
      </c>
    </row>
    <row r="21" spans="1:120" ht="15.75" outlineLevel="1" thickBot="1" x14ac:dyDescent="0.3">
      <c r="A21" s="14">
        <v>17</v>
      </c>
      <c r="B21" s="3">
        <v>44039</v>
      </c>
      <c r="C21" s="3">
        <v>233</v>
      </c>
      <c r="D21" s="22">
        <f>IFERROR(Tabelle3[[#This Row],[Ned (€)]]/Tabelle3[[#This Row],[Ned (Backer)]],"")</f>
        <v>189.00858369098714</v>
      </c>
      <c r="E21" s="8">
        <f t="shared" si="53"/>
        <v>103405.44444444447</v>
      </c>
      <c r="F21" s="8">
        <f t="shared" si="54"/>
        <v>619.66666666666663</v>
      </c>
      <c r="G21" s="8">
        <f t="shared" si="61"/>
        <v>209669.60000000003</v>
      </c>
      <c r="H21" s="8">
        <f t="shared" si="62"/>
        <v>1303.2000000000003</v>
      </c>
      <c r="I21" s="9">
        <v>109547</v>
      </c>
      <c r="J21" s="9">
        <v>471</v>
      </c>
      <c r="K21" s="22">
        <f>Tabelle3[[#This Row],[Werkzeuge (€)]]/Tabelle3[[#This Row],[Werkzeuge (Backer)]]</f>
        <v>232.58386411889597</v>
      </c>
      <c r="L21" s="3">
        <v>86833</v>
      </c>
      <c r="M21" s="3">
        <v>487</v>
      </c>
      <c r="N21" s="22">
        <f>Tabelle3[[#This Row],[DSK Fasar (€)]]/Tabelle3[[#This Row],[DSK Fasar (Backer)]]</f>
        <v>178.30184804928132</v>
      </c>
      <c r="O21" s="3">
        <v>64258</v>
      </c>
      <c r="P21" s="3">
        <v>363</v>
      </c>
      <c r="Q21" s="22">
        <f>Tabelle3[[#This Row],[Mythen (€)]]/Tabelle3[[#This Row],[Mythen (Backer)]]</f>
        <v>177.01928374655648</v>
      </c>
      <c r="R21" s="3">
        <v>198261</v>
      </c>
      <c r="S21" s="3">
        <v>1384</v>
      </c>
      <c r="T21" s="22">
        <f>Tabelle3[[#This Row],[SOK (€)]]/Tabelle3[[#This Row],[SOK (Backer)]]</f>
        <v>143.25216763005781</v>
      </c>
      <c r="U21" s="3">
        <v>268894</v>
      </c>
      <c r="V21" s="3">
        <v>1160</v>
      </c>
      <c r="W21" s="564">
        <f>Tabelle3[[#This Row],[RE (€)]]/Tabelle3[[#This Row],[RE (Backer)]]</f>
        <v>231.80517241379312</v>
      </c>
      <c r="X21" s="3">
        <v>181054</v>
      </c>
      <c r="Y21" s="3">
        <v>757</v>
      </c>
      <c r="Z21" s="22">
        <f>Tabelle3[[#This Row],[DGG (€)]]/Tabelle3[[#This Row],[DGG (Backer)]]</f>
        <v>239.17305151915457</v>
      </c>
      <c r="AA21" s="3">
        <v>83940</v>
      </c>
      <c r="AB21" s="3">
        <v>471</v>
      </c>
      <c r="AC21" s="22">
        <f>Tabelle3[[#This Row],[DSK SV (€)]]/Tabelle3[[#This Row],[DSK SV (Backer)]]</f>
        <v>178.21656050955414</v>
      </c>
      <c r="AD21" s="3">
        <v>258252</v>
      </c>
      <c r="AE21" s="3">
        <v>1341</v>
      </c>
      <c r="AF21" s="22">
        <f>Tabelle3[[#This Row],[WW (€)]]/Tabelle3[[#This Row],[WW (Backer)]]</f>
        <v>192.58165548098435</v>
      </c>
      <c r="AG21" s="3">
        <v>23945</v>
      </c>
      <c r="AH21" s="3">
        <v>175</v>
      </c>
      <c r="AI21" s="22">
        <f>Tabelle3[[#This Row],[DSK R (€)]]/Tabelle3[[#This Row],[DSK R (Backer)]]</f>
        <v>136.82857142857142</v>
      </c>
      <c r="AJ21" s="3">
        <v>174268</v>
      </c>
      <c r="AK21" s="3">
        <v>790</v>
      </c>
      <c r="AL21" s="22">
        <f>Tabelle3[[#This Row],[Ära (€)]]/Tabelle3[[#This Row],[Ära (Backer)]]</f>
        <v>220.59240506329115</v>
      </c>
      <c r="AM21" s="184">
        <f>'Übersicht &amp; Anleitung'!AS67</f>
        <v>63787</v>
      </c>
      <c r="AN21" s="184">
        <f>'Übersicht &amp; Anleitung'!AT67</f>
        <v>865</v>
      </c>
      <c r="AO21" s="564">
        <f>Tabelle3[[#This Row],[Mosaik (€)]]/Tabelle3[[#This Row],[Mosaik (Backer)]]</f>
        <v>73.742196531791905</v>
      </c>
      <c r="AZ21" s="424" t="s">
        <v>212</v>
      </c>
      <c r="BA21" s="6">
        <f t="shared" si="0"/>
        <v>76918.83224133843</v>
      </c>
      <c r="BB21" s="6">
        <f t="shared" si="1"/>
        <v>1040</v>
      </c>
      <c r="BC21" s="23">
        <f t="shared" si="19"/>
        <v>73.960415616671568</v>
      </c>
      <c r="BD21" s="6">
        <f t="shared" si="2"/>
        <v>99395.735958081917</v>
      </c>
      <c r="BE21" s="6">
        <f t="shared" si="3"/>
        <v>1388.407643312102</v>
      </c>
      <c r="BF21" s="23">
        <f t="shared" si="20"/>
        <v>71.589735505178737</v>
      </c>
      <c r="BG21" s="3">
        <f t="shared" si="4"/>
        <v>88157.284099710174</v>
      </c>
      <c r="BH21" s="3">
        <f t="shared" si="5"/>
        <v>1214.2038216560509</v>
      </c>
      <c r="BI21" s="23">
        <f t="shared" si="21"/>
        <v>72.605012871292544</v>
      </c>
      <c r="BJ21" s="3">
        <f t="shared" si="22"/>
        <v>88761.388198918896</v>
      </c>
      <c r="BK21" s="3">
        <f t="shared" si="23"/>
        <v>1201.7971502522203</v>
      </c>
      <c r="BL21" s="23">
        <f t="shared" si="24"/>
        <v>73.857213074844296</v>
      </c>
      <c r="BN21" s="216" t="s">
        <v>212</v>
      </c>
      <c r="BO21" s="16">
        <f t="shared" si="55"/>
        <v>1.2058700399977806</v>
      </c>
      <c r="BP21" s="16">
        <f t="shared" si="56"/>
        <v>1.2023121387283238</v>
      </c>
      <c r="BQ21" s="397">
        <f t="shared" si="57"/>
        <v>1.5582444065104475</v>
      </c>
      <c r="BR21" s="397">
        <f t="shared" si="58"/>
        <v>1.605095541401274</v>
      </c>
      <c r="BS21" s="397">
        <f t="shared" si="59"/>
        <v>1.3915278692981154</v>
      </c>
      <c r="BT21" s="397">
        <f t="shared" si="60"/>
        <v>1.3893608673436073</v>
      </c>
      <c r="BU21" s="17">
        <f t="shared" si="6"/>
        <v>1.415677013556166</v>
      </c>
      <c r="BV21" s="7">
        <f t="shared" si="7"/>
        <v>1.4892703862660943</v>
      </c>
      <c r="BW21" s="28"/>
      <c r="BX21" s="32"/>
      <c r="BY21" s="12">
        <f t="shared" si="25"/>
        <v>1.5582444065104475</v>
      </c>
      <c r="BZ21" s="13">
        <f t="shared" si="26"/>
        <v>1.605095541401274</v>
      </c>
      <c r="CA21" s="12">
        <f t="shared" si="27"/>
        <v>1.4245045086545438</v>
      </c>
      <c r="CB21" s="29">
        <f t="shared" si="28"/>
        <v>1.3511293634496919</v>
      </c>
      <c r="CC21" s="12">
        <f t="shared" si="29"/>
        <v>1.4004637554856982</v>
      </c>
      <c r="CD21" s="29">
        <f t="shared" si="30"/>
        <v>1.3691460055096418</v>
      </c>
      <c r="CE21" s="12">
        <f t="shared" si="31"/>
        <v>1.2058700399977806</v>
      </c>
      <c r="CF21" s="29">
        <f t="shared" si="32"/>
        <v>1.2023121387283238</v>
      </c>
      <c r="CG21" s="12">
        <f t="shared" si="33"/>
        <v>1.4522711551763892</v>
      </c>
      <c r="CH21" s="29">
        <f t="shared" si="34"/>
        <v>1.4293103448275861</v>
      </c>
      <c r="CI21" s="12">
        <f t="shared" si="35"/>
        <v>1.2782374319263865</v>
      </c>
      <c r="CJ21" s="29">
        <f t="shared" si="36"/>
        <v>1.2879788639365919</v>
      </c>
      <c r="CK21" s="12">
        <f t="shared" si="37"/>
        <v>1.371372408863474</v>
      </c>
      <c r="CL21" s="29">
        <f t="shared" si="38"/>
        <v>1.3694267515923566</v>
      </c>
      <c r="CM21" s="12">
        <f t="shared" si="39"/>
        <v>1.2562729427071233</v>
      </c>
      <c r="CN21" s="29">
        <f t="shared" si="40"/>
        <v>1.2527964205816555</v>
      </c>
      <c r="CO21" s="12">
        <f t="shared" si="41"/>
        <v>1.5138024639799541</v>
      </c>
      <c r="CP21" s="29">
        <f t="shared" si="42"/>
        <v>1.5371428571428571</v>
      </c>
      <c r="CQ21" s="12">
        <f t="shared" si="43"/>
        <v>1.4300904354213051</v>
      </c>
      <c r="CR21" s="29">
        <f t="shared" si="44"/>
        <v>1.4379746835443037</v>
      </c>
      <c r="CS21" s="18"/>
      <c r="CT21" s="20">
        <f t="shared" si="8"/>
        <v>-7.3593372709928273E-2</v>
      </c>
      <c r="CU21" s="33"/>
      <c r="CV21" s="34"/>
      <c r="CW21" s="30"/>
      <c r="CX21" s="31">
        <f t="shared" si="9"/>
        <v>-4.6851134890826485E-2</v>
      </c>
      <c r="CY21" s="21"/>
      <c r="CZ21" s="19">
        <f t="shared" si="10"/>
        <v>7.3375145204851888E-2</v>
      </c>
      <c r="DA21" s="21"/>
      <c r="DB21" s="19">
        <f t="shared" si="11"/>
        <v>3.1317749976056408E-2</v>
      </c>
      <c r="DC21" s="21"/>
      <c r="DD21" s="19">
        <f t="shared" si="12"/>
        <v>3.5579012694568757E-3</v>
      </c>
      <c r="DE21" s="21"/>
      <c r="DF21" s="19">
        <f t="shared" si="13"/>
        <v>2.296081034880304E-2</v>
      </c>
      <c r="DG21" s="21"/>
      <c r="DH21" s="19">
        <f t="shared" si="14"/>
        <v>-9.7414320102053864E-3</v>
      </c>
      <c r="DI21" s="21"/>
      <c r="DJ21" s="19">
        <f t="shared" si="15"/>
        <v>1.9456572711173958E-3</v>
      </c>
      <c r="DK21" s="21"/>
      <c r="DL21" s="19">
        <f t="shared" si="16"/>
        <v>3.4765221254677847E-3</v>
      </c>
      <c r="DM21" s="21"/>
      <c r="DN21" s="19">
        <f t="shared" si="17"/>
        <v>-2.3340393162903039E-2</v>
      </c>
      <c r="DO21" s="21"/>
      <c r="DP21" s="19">
        <f t="shared" si="18"/>
        <v>-7.8842481229985939E-3</v>
      </c>
    </row>
    <row r="22" spans="1:120" ht="15.75" outlineLevel="1" thickBot="1" x14ac:dyDescent="0.3">
      <c r="A22" s="14">
        <v>18</v>
      </c>
      <c r="B22" s="3">
        <v>46661</v>
      </c>
      <c r="C22" s="3">
        <v>250</v>
      </c>
      <c r="D22" s="22">
        <f>IFERROR(Tabelle3[[#This Row],[Ned (€)]]/Tabelle3[[#This Row],[Ned (Backer)]],"")</f>
        <v>186.64400000000001</v>
      </c>
      <c r="E22" s="8">
        <f t="shared" si="53"/>
        <v>107505.83333333336</v>
      </c>
      <c r="F22" s="8">
        <f t="shared" si="54"/>
        <v>642.5</v>
      </c>
      <c r="G22" s="8">
        <f t="shared" si="61"/>
        <v>223781.20000000004</v>
      </c>
      <c r="H22" s="8">
        <f t="shared" si="62"/>
        <v>1370.4000000000003</v>
      </c>
      <c r="I22" s="9">
        <v>115420</v>
      </c>
      <c r="J22" s="9">
        <v>501</v>
      </c>
      <c r="K22" s="22">
        <f>Tabelle3[[#This Row],[Werkzeuge (€)]]/Tabelle3[[#This Row],[Werkzeuge (Backer)]]</f>
        <v>230.37924151696606</v>
      </c>
      <c r="L22" s="3">
        <v>91974</v>
      </c>
      <c r="M22" s="3">
        <v>514</v>
      </c>
      <c r="N22" s="22">
        <f>Tabelle3[[#This Row],[DSK Fasar (€)]]/Tabelle3[[#This Row],[DSK Fasar (Backer)]]</f>
        <v>178.93774319066148</v>
      </c>
      <c r="O22" s="3">
        <v>66749</v>
      </c>
      <c r="P22" s="3">
        <v>377</v>
      </c>
      <c r="Q22" s="22">
        <f>Tabelle3[[#This Row],[Mythen (€)]]/Tabelle3[[#This Row],[Mythen (Backer)]]</f>
        <v>177.053050397878</v>
      </c>
      <c r="R22" s="3">
        <v>203119</v>
      </c>
      <c r="S22" s="3">
        <v>1419</v>
      </c>
      <c r="T22" s="22">
        <f>Tabelle3[[#This Row],[SOK (€)]]/Tabelle3[[#This Row],[SOK (Backer)]]</f>
        <v>143.14235377026074</v>
      </c>
      <c r="U22" s="3">
        <v>280832</v>
      </c>
      <c r="V22" s="3">
        <v>1210</v>
      </c>
      <c r="W22" s="22">
        <f>Tabelle3[[#This Row],[RE (€)]]/Tabelle3[[#This Row],[RE (Backer)]]</f>
        <v>232.09256198347109</v>
      </c>
      <c r="X22" s="3">
        <v>187527</v>
      </c>
      <c r="Y22" s="3">
        <v>781</v>
      </c>
      <c r="Z22" s="564">
        <f>Tabelle3[[#This Row],[DGG (€)]]/Tabelle3[[#This Row],[DGG (Backer)]]</f>
        <v>240.11139564660692</v>
      </c>
      <c r="AA22" s="3">
        <v>87091</v>
      </c>
      <c r="AB22" s="3">
        <v>491</v>
      </c>
      <c r="AC22" s="22">
        <f>Tabelle3[[#This Row],[DSK SV (€)]]/Tabelle3[[#This Row],[DSK SV (Backer)]]</f>
        <v>177.37474541751527</v>
      </c>
      <c r="AD22" s="3">
        <v>267342</v>
      </c>
      <c r="AE22" s="3">
        <v>1386</v>
      </c>
      <c r="AF22" s="22">
        <f>Tabelle3[[#This Row],[WW (€)]]/Tabelle3[[#This Row],[WW (Backer)]]</f>
        <v>192.88744588744589</v>
      </c>
      <c r="AG22" s="3">
        <v>25263</v>
      </c>
      <c r="AH22" s="3">
        <v>186</v>
      </c>
      <c r="AI22" s="22">
        <f>Tabelle3[[#This Row],[DSK R (€)]]/Tabelle3[[#This Row],[DSK R (Backer)]]</f>
        <v>135.82258064516128</v>
      </c>
      <c r="AJ22" s="3">
        <v>180234</v>
      </c>
      <c r="AK22" s="3">
        <v>821</v>
      </c>
      <c r="AL22" s="22">
        <f>Tabelle3[[#This Row],[Ära (€)]]/Tabelle3[[#This Row],[Ära (Backer)]]</f>
        <v>219.52984165651645</v>
      </c>
      <c r="AM22" s="184">
        <f>'Übersicht &amp; Anleitung'!AS68</f>
        <v>66341</v>
      </c>
      <c r="AN22" s="184">
        <f>'Übersicht &amp; Anleitung'!AT68</f>
        <v>892</v>
      </c>
      <c r="AO22" s="22">
        <f>Tabelle3[[#This Row],[Mosaik (€)]]/Tabelle3[[#This Row],[Mosaik (Backer)]]</f>
        <v>74.373318385650222</v>
      </c>
      <c r="AZ22" s="424" t="s">
        <v>213</v>
      </c>
      <c r="BA22" s="6">
        <f t="shared" si="0"/>
        <v>78085.296092438424</v>
      </c>
      <c r="BB22" s="6">
        <f t="shared" si="1"/>
        <v>1046.0098661028894</v>
      </c>
      <c r="BC22" s="23">
        <f t="shared" si="19"/>
        <v>74.650630575178212</v>
      </c>
      <c r="BD22" s="6">
        <f t="shared" si="2"/>
        <v>98115.361644429038</v>
      </c>
      <c r="BE22" s="6">
        <f t="shared" si="3"/>
        <v>1346.011976047904</v>
      </c>
      <c r="BF22" s="23">
        <f t="shared" si="20"/>
        <v>72.893379398087276</v>
      </c>
      <c r="BG22" s="3">
        <f t="shared" si="4"/>
        <v>88100.328868433731</v>
      </c>
      <c r="BH22" s="3">
        <f t="shared" si="5"/>
        <v>1196.0109210753967</v>
      </c>
      <c r="BI22" s="23">
        <f t="shared" si="21"/>
        <v>73.661809700883055</v>
      </c>
      <c r="BJ22" s="3">
        <f t="shared" si="22"/>
        <v>88430.948166600123</v>
      </c>
      <c r="BK22" s="3">
        <f t="shared" si="23"/>
        <v>1182.6802930511687</v>
      </c>
      <c r="BL22" s="23">
        <f t="shared" si="24"/>
        <v>74.771642586906751</v>
      </c>
      <c r="BN22" s="216" t="s">
        <v>213</v>
      </c>
      <c r="BO22" s="16">
        <f t="shared" si="55"/>
        <v>1.1770292291710771</v>
      </c>
      <c r="BP22" s="16">
        <f t="shared" si="56"/>
        <v>1.1726568005637774</v>
      </c>
      <c r="BQ22" s="397">
        <f t="shared" si="57"/>
        <v>1.4789551204297349</v>
      </c>
      <c r="BR22" s="397">
        <f t="shared" si="58"/>
        <v>1.5089820359281436</v>
      </c>
      <c r="BS22" s="397">
        <f t="shared" si="59"/>
        <v>1.332975809327567</v>
      </c>
      <c r="BT22" s="397">
        <f t="shared" si="60"/>
        <v>1.3258747679945837</v>
      </c>
      <c r="BU22" s="17">
        <f t="shared" si="6"/>
        <v>1.3361265296500289</v>
      </c>
      <c r="BV22" s="7">
        <f t="shared" si="7"/>
        <v>1.3879999999999999</v>
      </c>
      <c r="BW22" s="28"/>
      <c r="BX22" s="32"/>
      <c r="BY22" s="12">
        <f t="shared" si="25"/>
        <v>1.4789551204297349</v>
      </c>
      <c r="BZ22" s="13">
        <f t="shared" si="26"/>
        <v>1.5089820359281436</v>
      </c>
      <c r="CA22" s="12">
        <f t="shared" si="27"/>
        <v>1.3448800748037488</v>
      </c>
      <c r="CB22" s="29">
        <f t="shared" si="28"/>
        <v>1.2801556420233462</v>
      </c>
      <c r="CC22" s="12">
        <f t="shared" si="29"/>
        <v>1.3481999730333039</v>
      </c>
      <c r="CD22" s="29">
        <f t="shared" si="30"/>
        <v>1.3183023872679045</v>
      </c>
      <c r="CE22" s="12">
        <f t="shared" si="31"/>
        <v>1.1770292291710771</v>
      </c>
      <c r="CF22" s="29">
        <f t="shared" si="32"/>
        <v>1.1726568005637774</v>
      </c>
      <c r="CG22" s="12">
        <f t="shared" si="33"/>
        <v>1.390535978805834</v>
      </c>
      <c r="CH22" s="29">
        <f t="shared" si="34"/>
        <v>1.3702479338842974</v>
      </c>
      <c r="CI22" s="12">
        <f t="shared" si="35"/>
        <v>1.2341156206839548</v>
      </c>
      <c r="CJ22" s="29">
        <f t="shared" si="36"/>
        <v>1.2483994878361075</v>
      </c>
      <c r="CK22" s="12">
        <f t="shared" si="37"/>
        <v>1.3217554052657565</v>
      </c>
      <c r="CL22" s="29">
        <f t="shared" si="38"/>
        <v>1.3136456211812628</v>
      </c>
      <c r="CM22" s="12">
        <f t="shared" si="39"/>
        <v>1.2135579145813229</v>
      </c>
      <c r="CN22" s="29">
        <f t="shared" si="40"/>
        <v>1.2121212121212122</v>
      </c>
      <c r="CO22" s="12">
        <f t="shared" si="41"/>
        <v>1.4348256343268813</v>
      </c>
      <c r="CP22" s="29">
        <f t="shared" si="42"/>
        <v>1.446236559139785</v>
      </c>
      <c r="CQ22" s="12">
        <f t="shared" si="43"/>
        <v>1.382752421851593</v>
      </c>
      <c r="CR22" s="29">
        <f t="shared" si="44"/>
        <v>1.3836784409257004</v>
      </c>
      <c r="CS22" s="18"/>
      <c r="CT22" s="20">
        <f t="shared" si="8"/>
        <v>-5.1873470349971029E-2</v>
      </c>
      <c r="CU22" s="33"/>
      <c r="CV22" s="34"/>
      <c r="CW22" s="30"/>
      <c r="CX22" s="31">
        <f t="shared" si="9"/>
        <v>-3.0026915498408746E-2</v>
      </c>
      <c r="CY22" s="21"/>
      <c r="CZ22" s="19">
        <f t="shared" si="10"/>
        <v>6.472443278040263E-2</v>
      </c>
      <c r="DA22" s="21"/>
      <c r="DB22" s="19">
        <f t="shared" si="11"/>
        <v>2.9897585765399359E-2</v>
      </c>
      <c r="DC22" s="21"/>
      <c r="DD22" s="19">
        <f t="shared" si="12"/>
        <v>4.3724286072996943E-3</v>
      </c>
      <c r="DE22" s="21"/>
      <c r="DF22" s="19">
        <f t="shared" si="13"/>
        <v>2.0288044921536574E-2</v>
      </c>
      <c r="DG22" s="21"/>
      <c r="DH22" s="19">
        <f t="shared" si="14"/>
        <v>-1.4283867152152796E-2</v>
      </c>
      <c r="DI22" s="21"/>
      <c r="DJ22" s="19">
        <f t="shared" si="15"/>
        <v>8.1097840844936986E-3</v>
      </c>
      <c r="DK22" s="21"/>
      <c r="DL22" s="19">
        <f t="shared" si="16"/>
        <v>1.4367024601107392E-3</v>
      </c>
      <c r="DM22" s="21"/>
      <c r="DN22" s="19">
        <f t="shared" si="17"/>
        <v>-1.1410924812903733E-2</v>
      </c>
      <c r="DO22" s="21"/>
      <c r="DP22" s="19">
        <f t="shared" si="18"/>
        <v>-9.2601907410738704E-4</v>
      </c>
    </row>
    <row r="23" spans="1:120" ht="15.75" outlineLevel="1" thickBot="1" x14ac:dyDescent="0.3">
      <c r="A23" s="14">
        <v>19</v>
      </c>
      <c r="B23" s="3">
        <v>49576</v>
      </c>
      <c r="C23" s="3">
        <v>267</v>
      </c>
      <c r="D23" s="22">
        <f>IFERROR(Tabelle3[[#This Row],[Ned (€)]]/Tabelle3[[#This Row],[Ned (Backer)]],"")</f>
        <v>185.67790262172284</v>
      </c>
      <c r="E23" s="8">
        <f t="shared" si="53"/>
        <v>111606.22222222225</v>
      </c>
      <c r="F23" s="8">
        <f t="shared" si="54"/>
        <v>665.33333333333337</v>
      </c>
      <c r="G23" s="8">
        <f t="shared" si="61"/>
        <v>237892.80000000005</v>
      </c>
      <c r="H23" s="8">
        <f t="shared" si="62"/>
        <v>1437.6000000000004</v>
      </c>
      <c r="I23" s="9">
        <v>123542</v>
      </c>
      <c r="J23" s="9">
        <v>537</v>
      </c>
      <c r="K23" s="22">
        <f>Tabelle3[[#This Row],[Werkzeuge (€)]]/Tabelle3[[#This Row],[Werkzeuge (Backer)]]</f>
        <v>230.05959031657355</v>
      </c>
      <c r="L23" s="3">
        <v>101170</v>
      </c>
      <c r="M23" s="3">
        <v>549</v>
      </c>
      <c r="N23" s="564">
        <f>Tabelle3[[#This Row],[DSK Fasar (€)]]/Tabelle3[[#This Row],[DSK Fasar (Backer)]]</f>
        <v>184.28051001821493</v>
      </c>
      <c r="O23" s="3">
        <v>71433</v>
      </c>
      <c r="P23" s="3">
        <v>401</v>
      </c>
      <c r="Q23" s="22">
        <f>Tabelle3[[#This Row],[Mythen (€)]]/Tabelle3[[#This Row],[Mythen (Backer)]]</f>
        <v>178.13715710723193</v>
      </c>
      <c r="R23" s="3">
        <v>212186</v>
      </c>
      <c r="S23" s="3">
        <v>1483</v>
      </c>
      <c r="T23" s="22">
        <f>Tabelle3[[#This Row],[SOK (€)]]/Tabelle3[[#This Row],[SOK (Backer)]]</f>
        <v>143.07889413351316</v>
      </c>
      <c r="U23" s="3">
        <v>299641</v>
      </c>
      <c r="V23" s="3">
        <v>1290</v>
      </c>
      <c r="W23" s="22">
        <f>Tabelle3[[#This Row],[RE (€)]]/Tabelle3[[#This Row],[RE (Backer)]]</f>
        <v>232.27984496124031</v>
      </c>
      <c r="X23" s="3">
        <v>197700</v>
      </c>
      <c r="Y23" s="3">
        <v>827</v>
      </c>
      <c r="Z23" s="22">
        <f>Tabelle3[[#This Row],[DGG (€)]]/Tabelle3[[#This Row],[DGG (Backer)]]</f>
        <v>239.05683192261185</v>
      </c>
      <c r="AA23" s="3">
        <v>91598</v>
      </c>
      <c r="AB23" s="3">
        <v>519</v>
      </c>
      <c r="AC23" s="22">
        <f>Tabelle3[[#This Row],[DSK SV (€)]]/Tabelle3[[#This Row],[DSK SV (Backer)]]</f>
        <v>176.48940269749519</v>
      </c>
      <c r="AD23" s="3">
        <v>279921</v>
      </c>
      <c r="AE23" s="3">
        <v>1454</v>
      </c>
      <c r="AF23" s="22">
        <f>Tabelle3[[#This Row],[WW (€)]]/Tabelle3[[#This Row],[WW (Backer)]]</f>
        <v>192.51788170563961</v>
      </c>
      <c r="AG23" s="3">
        <v>26708</v>
      </c>
      <c r="AH23" s="3">
        <v>198</v>
      </c>
      <c r="AI23" s="22">
        <f>Tabelle3[[#This Row],[DSK R (€)]]/Tabelle3[[#This Row],[DSK R (Backer)]]</f>
        <v>134.88888888888889</v>
      </c>
      <c r="AJ23" s="3">
        <v>197561</v>
      </c>
      <c r="AK23" s="3">
        <v>900</v>
      </c>
      <c r="AL23" s="22">
        <f>Tabelle3[[#This Row],[Ära (€)]]/Tabelle3[[#This Row],[Ära (Backer)]]</f>
        <v>219.51222222222222</v>
      </c>
      <c r="AM23" s="184">
        <f>'Übersicht &amp; Anleitung'!AS69</f>
        <v>71736</v>
      </c>
      <c r="AN23" s="184">
        <f>'Übersicht &amp; Anleitung'!AT69</f>
        <v>973</v>
      </c>
      <c r="AO23" s="22">
        <f>Tabelle3[[#This Row],[Mosaik (€)]]/Tabelle3[[#This Row],[Mosaik (Backer)]]</f>
        <v>73.726618705035975</v>
      </c>
      <c r="AZ23" s="216" t="s">
        <v>214</v>
      </c>
      <c r="BA23" s="6">
        <f t="shared" si="0"/>
        <v>80827.329192312405</v>
      </c>
      <c r="BB23" s="6">
        <f t="shared" si="1"/>
        <v>1091.7545515846257</v>
      </c>
      <c r="BC23" s="23">
        <f t="shared" si="19"/>
        <v>74.03434139568796</v>
      </c>
      <c r="BD23" s="6">
        <f t="shared" si="2"/>
        <v>99119.383982775093</v>
      </c>
      <c r="BE23" s="6">
        <f t="shared" si="3"/>
        <v>1369.8100558659219</v>
      </c>
      <c r="BF23" s="23">
        <f t="shared" si="20"/>
        <v>72.359947686409001</v>
      </c>
      <c r="BG23" s="3">
        <f t="shared" si="4"/>
        <v>89973.356587543749</v>
      </c>
      <c r="BH23" s="3">
        <f t="shared" si="5"/>
        <v>1230.7823037252738</v>
      </c>
      <c r="BI23" s="23">
        <f t="shared" si="21"/>
        <v>73.102575748137298</v>
      </c>
      <c r="BJ23" s="3">
        <f t="shared" si="22"/>
        <v>89713.905552396813</v>
      </c>
      <c r="BK23" s="3">
        <f t="shared" si="23"/>
        <v>1215.1277441873119</v>
      </c>
      <c r="BL23" s="23">
        <f t="shared" si="24"/>
        <v>73.830842873559973</v>
      </c>
      <c r="BN23" s="216" t="s">
        <v>214</v>
      </c>
      <c r="BO23" s="16">
        <f t="shared" si="55"/>
        <v>1.1267331492181387</v>
      </c>
      <c r="BP23" s="16">
        <f t="shared" si="56"/>
        <v>1.1220498988536749</v>
      </c>
      <c r="BQ23" s="397">
        <f t="shared" si="57"/>
        <v>1.3817244337957941</v>
      </c>
      <c r="BR23" s="397">
        <f t="shared" si="58"/>
        <v>1.4078212290502794</v>
      </c>
      <c r="BS23" s="397">
        <f t="shared" si="59"/>
        <v>1.2506120434983385</v>
      </c>
      <c r="BT23" s="397">
        <f t="shared" si="60"/>
        <v>1.2488466024535581</v>
      </c>
      <c r="BU23" s="17">
        <f t="shared" si="6"/>
        <v>1.2575641439406164</v>
      </c>
      <c r="BV23" s="7">
        <f t="shared" si="7"/>
        <v>1.2996254681647941</v>
      </c>
      <c r="BW23" s="28"/>
      <c r="BX23" s="32"/>
      <c r="BY23" s="12">
        <f t="shared" si="25"/>
        <v>1.3817244337957941</v>
      </c>
      <c r="BZ23" s="13">
        <f t="shared" si="26"/>
        <v>1.4078212290502794</v>
      </c>
      <c r="CA23" s="12">
        <f t="shared" si="27"/>
        <v>1.2226351685282197</v>
      </c>
      <c r="CB23" s="29">
        <f t="shared" si="28"/>
        <v>1.1985428051001821</v>
      </c>
      <c r="CC23" s="12">
        <f t="shared" si="29"/>
        <v>1.2597958926546553</v>
      </c>
      <c r="CD23" s="29">
        <f t="shared" si="30"/>
        <v>1.2394014962593516</v>
      </c>
      <c r="CE23" s="12">
        <f t="shared" si="31"/>
        <v>1.1267331492181387</v>
      </c>
      <c r="CF23" s="29">
        <f t="shared" si="32"/>
        <v>1.1220498988536749</v>
      </c>
      <c r="CG23" s="12">
        <f t="shared" si="33"/>
        <v>1.3032495553011771</v>
      </c>
      <c r="CH23" s="29">
        <f t="shared" si="34"/>
        <v>1.2852713178294575</v>
      </c>
      <c r="CI23" s="12">
        <f t="shared" si="35"/>
        <v>1.1706120384420839</v>
      </c>
      <c r="CJ23" s="29">
        <f t="shared" si="36"/>
        <v>1.1789600967351874</v>
      </c>
      <c r="CK23" s="12">
        <f t="shared" si="37"/>
        <v>1.2567195790301098</v>
      </c>
      <c r="CL23" s="29">
        <f t="shared" si="38"/>
        <v>1.2427745664739884</v>
      </c>
      <c r="CM23" s="12">
        <f t="shared" si="39"/>
        <v>1.1590234387559346</v>
      </c>
      <c r="CN23" s="29">
        <f t="shared" si="40"/>
        <v>1.1554332874828062</v>
      </c>
      <c r="CO23" s="12">
        <f t="shared" si="41"/>
        <v>1.3571963456642204</v>
      </c>
      <c r="CP23" s="29">
        <f t="shared" si="42"/>
        <v>1.3585858585858586</v>
      </c>
      <c r="CQ23" s="12">
        <f t="shared" si="43"/>
        <v>1.2614787331507737</v>
      </c>
      <c r="CR23" s="29">
        <f t="shared" si="44"/>
        <v>1.2622222222222221</v>
      </c>
      <c r="CS23" s="18"/>
      <c r="CT23" s="20">
        <f t="shared" si="8"/>
        <v>-4.2061324224177632E-2</v>
      </c>
      <c r="CU23" s="33"/>
      <c r="CV23" s="34"/>
      <c r="CW23" s="30"/>
      <c r="CX23" s="31">
        <f t="shared" si="9"/>
        <v>-2.6096795254485272E-2</v>
      </c>
      <c r="CY23" s="21"/>
      <c r="CZ23" s="19">
        <f t="shared" si="10"/>
        <v>2.4092363428037666E-2</v>
      </c>
      <c r="DA23" s="21"/>
      <c r="DB23" s="19">
        <f t="shared" si="11"/>
        <v>2.0394396395303716E-2</v>
      </c>
      <c r="DC23" s="21"/>
      <c r="DD23" s="19">
        <f t="shared" si="12"/>
        <v>4.6832503644638201E-3</v>
      </c>
      <c r="DE23" s="21"/>
      <c r="DF23" s="19">
        <f t="shared" si="13"/>
        <v>1.7978237471719671E-2</v>
      </c>
      <c r="DG23" s="21"/>
      <c r="DH23" s="19">
        <f t="shared" si="14"/>
        <v>-8.3480582931034775E-3</v>
      </c>
      <c r="DI23" s="21"/>
      <c r="DJ23" s="19">
        <f t="shared" si="15"/>
        <v>1.394501255612135E-2</v>
      </c>
      <c r="DK23" s="21"/>
      <c r="DL23" s="19">
        <f t="shared" si="16"/>
        <v>3.5901512731284502E-3</v>
      </c>
      <c r="DM23" s="21"/>
      <c r="DN23" s="19">
        <f t="shared" si="17"/>
        <v>-1.3895129216381363E-3</v>
      </c>
      <c r="DO23" s="21"/>
      <c r="DP23" s="19">
        <f t="shared" si="18"/>
        <v>-7.4348907144838883E-4</v>
      </c>
    </row>
    <row r="24" spans="1:120" s="10" customFormat="1" ht="15.75" outlineLevel="1" thickBot="1" x14ac:dyDescent="0.3">
      <c r="A24" s="14">
        <v>20</v>
      </c>
      <c r="B24" s="9">
        <v>54612</v>
      </c>
      <c r="C24" s="9">
        <v>300</v>
      </c>
      <c r="D24" s="22">
        <f>IFERROR(Tabelle3[[#This Row],[Ned (€)]]/Tabelle3[[#This Row],[Ned (Backer)]],"")</f>
        <v>182.04</v>
      </c>
      <c r="E24" s="8">
        <f t="shared" si="53"/>
        <v>115706.61111111114</v>
      </c>
      <c r="F24" s="8">
        <f t="shared" si="54"/>
        <v>688.16666666666674</v>
      </c>
      <c r="G24" s="11">
        <f t="shared" si="61"/>
        <v>252004.40000000005</v>
      </c>
      <c r="H24" s="11">
        <f t="shared" si="62"/>
        <v>1504.8000000000004</v>
      </c>
      <c r="I24" s="9">
        <v>130324</v>
      </c>
      <c r="J24" s="9">
        <v>576</v>
      </c>
      <c r="K24" s="22">
        <f>Tabelle3[[#This Row],[Werkzeuge (€)]]/Tabelle3[[#This Row],[Werkzeuge (Backer)]]</f>
        <v>226.25694444444446</v>
      </c>
      <c r="L24" s="9">
        <v>108862</v>
      </c>
      <c r="M24" s="9">
        <v>584</v>
      </c>
      <c r="N24" s="22">
        <f>Tabelle3[[#This Row],[DSK Fasar (€)]]/Tabelle3[[#This Row],[DSK Fasar (Backer)]]</f>
        <v>186.40753424657535</v>
      </c>
      <c r="O24" s="3">
        <v>78993</v>
      </c>
      <c r="P24" s="3">
        <v>440</v>
      </c>
      <c r="Q24" s="22">
        <f>Tabelle3[[#This Row],[Mythen (€)]]/Tabelle3[[#This Row],[Mythen (Backer)]]</f>
        <v>179.52954545454546</v>
      </c>
      <c r="R24" s="3">
        <v>220897</v>
      </c>
      <c r="S24" s="3">
        <v>1545</v>
      </c>
      <c r="T24" s="22">
        <f>Tabelle3[[#This Row],[SOK (€)]]/Tabelle3[[#This Row],[SOK (Backer)]]</f>
        <v>142.97540453074433</v>
      </c>
      <c r="U24" s="3">
        <v>330836</v>
      </c>
      <c r="V24" s="3">
        <v>1421</v>
      </c>
      <c r="W24" s="22">
        <f>Tabelle3[[#This Row],[RE (€)]]/Tabelle3[[#This Row],[RE (Backer)]]</f>
        <v>232.81914144968331</v>
      </c>
      <c r="X24" s="3">
        <v>205967</v>
      </c>
      <c r="Y24" s="3">
        <v>863</v>
      </c>
      <c r="Z24" s="22">
        <f>Tabelle3[[#This Row],[DGG (€)]]/Tabelle3[[#This Row],[DGG (Backer)]]</f>
        <v>238.66396292004634</v>
      </c>
      <c r="AA24" s="3">
        <v>99702</v>
      </c>
      <c r="AB24" s="3">
        <v>558</v>
      </c>
      <c r="AC24" s="564">
        <f>Tabelle3[[#This Row],[DSK SV (€)]]/Tabelle3[[#This Row],[DSK SV (Backer)]]</f>
        <v>178.67741935483872</v>
      </c>
      <c r="AD24" s="3">
        <v>295660</v>
      </c>
      <c r="AE24" s="3">
        <v>1533</v>
      </c>
      <c r="AF24" s="22">
        <f>Tabelle3[[#This Row],[WW (€)]]/Tabelle3[[#This Row],[WW (Backer)]]</f>
        <v>192.86366601435094</v>
      </c>
      <c r="AG24" s="3">
        <v>30138</v>
      </c>
      <c r="AH24" s="3">
        <v>227</v>
      </c>
      <c r="AI24" s="22">
        <f>Tabelle3[[#This Row],[DSK R (€)]]/Tabelle3[[#This Row],[DSK R (Backer)]]</f>
        <v>132.76651982378854</v>
      </c>
      <c r="AJ24" s="3">
        <v>214259</v>
      </c>
      <c r="AK24" s="3">
        <v>985</v>
      </c>
      <c r="AL24" s="22">
        <f>Tabelle3[[#This Row],[Ära (€)]]/Tabelle3[[#This Row],[Ära (Backer)]]</f>
        <v>217.52182741116752</v>
      </c>
      <c r="AM24" s="184">
        <f>'Übersicht &amp; Anleitung'!AS70</f>
        <v>76619</v>
      </c>
      <c r="AN24" s="184">
        <f>'Übersicht &amp; Anleitung'!AT70</f>
        <v>1053</v>
      </c>
      <c r="AO24" s="22">
        <f>Tabelle3[[#This Row],[Mosaik (€)]]/Tabelle3[[#This Row],[Mosaik (Backer)]]</f>
        <v>72.762583095916426</v>
      </c>
      <c r="AP24"/>
      <c r="AQ24"/>
      <c r="AR24"/>
      <c r="AS24"/>
      <c r="AT24"/>
      <c r="AU24"/>
      <c r="AV24"/>
      <c r="AW24"/>
      <c r="AX24"/>
      <c r="AY24" s="216"/>
      <c r="AZ24" s="216" t="s">
        <v>215</v>
      </c>
      <c r="BA24" s="6">
        <f t="shared" si="0"/>
        <v>82924.805058466169</v>
      </c>
      <c r="BB24" s="6">
        <f t="shared" si="1"/>
        <v>1134.1048543689321</v>
      </c>
      <c r="BC24" s="23">
        <f t="shared" si="19"/>
        <v>73.119169483327298</v>
      </c>
      <c r="BD24" s="6">
        <f t="shared" si="2"/>
        <v>100357.10935054172</v>
      </c>
      <c r="BE24" s="6">
        <f t="shared" si="3"/>
        <v>1382.0625</v>
      </c>
      <c r="BF24" s="23">
        <f t="shared" si="20"/>
        <v>72.614016624097474</v>
      </c>
      <c r="BG24" s="3">
        <f t="shared" si="4"/>
        <v>91640.957204503939</v>
      </c>
      <c r="BH24" s="3">
        <f t="shared" si="5"/>
        <v>1258.0836771844661</v>
      </c>
      <c r="BI24" s="23">
        <f t="shared" si="21"/>
        <v>72.841702715348973</v>
      </c>
      <c r="BJ24" s="3">
        <f t="shared" si="22"/>
        <v>88675.908705871989</v>
      </c>
      <c r="BK24" s="3">
        <f t="shared" si="23"/>
        <v>1214.7236689875772</v>
      </c>
      <c r="BL24" s="23">
        <f t="shared" si="24"/>
        <v>73.000889807127706</v>
      </c>
      <c r="BM24" s="216"/>
      <c r="BN24" s="216" t="s">
        <v>215</v>
      </c>
      <c r="BO24" s="16">
        <f t="shared" si="55"/>
        <v>1.0823008008257242</v>
      </c>
      <c r="BP24" s="16">
        <f t="shared" si="56"/>
        <v>1.0770226537216829</v>
      </c>
      <c r="BQ24" s="397">
        <f t="shared" si="57"/>
        <v>1.3098201405727263</v>
      </c>
      <c r="BR24" s="397">
        <f t="shared" si="58"/>
        <v>1.3125</v>
      </c>
      <c r="BS24" s="397">
        <f t="shared" si="59"/>
        <v>1.1573618646272072</v>
      </c>
      <c r="BT24" s="397">
        <f t="shared" si="60"/>
        <v>1.153583731232267</v>
      </c>
      <c r="BU24" s="17">
        <f t="shared" si="6"/>
        <v>1.14159891598916</v>
      </c>
      <c r="BV24" s="7">
        <f t="shared" si="7"/>
        <v>1.1566666666666667</v>
      </c>
      <c r="BW24" s="28"/>
      <c r="BX24" s="32"/>
      <c r="BY24" s="12">
        <f t="shared" si="25"/>
        <v>1.3098201405727263</v>
      </c>
      <c r="BZ24" s="13">
        <f t="shared" si="26"/>
        <v>1.3125</v>
      </c>
      <c r="CA24" s="12">
        <f t="shared" si="27"/>
        <v>1.136245889291029</v>
      </c>
      <c r="CB24" s="29">
        <f t="shared" si="28"/>
        <v>1.1267123287671232</v>
      </c>
      <c r="CC24" s="12">
        <f t="shared" si="29"/>
        <v>1.1392275264896889</v>
      </c>
      <c r="CD24" s="29">
        <f t="shared" si="30"/>
        <v>1.1295454545454546</v>
      </c>
      <c r="CE24" s="12">
        <f t="shared" si="31"/>
        <v>1.0823008008257242</v>
      </c>
      <c r="CF24" s="29">
        <f t="shared" si="32"/>
        <v>1.0770226537216829</v>
      </c>
      <c r="CG24" s="12">
        <f t="shared" si="33"/>
        <v>1.1803642892550992</v>
      </c>
      <c r="CH24" s="29">
        <f t="shared" si="34"/>
        <v>1.1667839549612948</v>
      </c>
      <c r="CI24" s="12">
        <f t="shared" si="35"/>
        <v>1.1236266003777304</v>
      </c>
      <c r="CJ24" s="29">
        <f t="shared" si="36"/>
        <v>1.1297798377752029</v>
      </c>
      <c r="CK24" s="12">
        <f t="shared" si="37"/>
        <v>1.1545706204489379</v>
      </c>
      <c r="CL24" s="29">
        <f t="shared" si="38"/>
        <v>1.1559139784946237</v>
      </c>
      <c r="CM24" s="12">
        <f t="shared" si="39"/>
        <v>1.0973246296421566</v>
      </c>
      <c r="CN24" s="29">
        <f t="shared" si="40"/>
        <v>1.095890410958904</v>
      </c>
      <c r="CO24" s="12">
        <f t="shared" si="41"/>
        <v>1.2027340898533414</v>
      </c>
      <c r="CP24" s="29">
        <f t="shared" si="42"/>
        <v>1.1850220264317182</v>
      </c>
      <c r="CQ24" s="12">
        <f t="shared" si="43"/>
        <v>1.1631670081536831</v>
      </c>
      <c r="CR24" s="29">
        <f t="shared" si="44"/>
        <v>1.1532994923857869</v>
      </c>
      <c r="CS24" s="18"/>
      <c r="CT24" s="20">
        <f t="shared" si="8"/>
        <v>-1.5067750677506764E-2</v>
      </c>
      <c r="CU24" s="33"/>
      <c r="CV24" s="34"/>
      <c r="CW24" s="30"/>
      <c r="CX24" s="31">
        <f t="shared" si="9"/>
        <v>-2.6798594272736675E-3</v>
      </c>
      <c r="CY24" s="21"/>
      <c r="CZ24" s="19">
        <f t="shared" si="10"/>
        <v>9.5335605239057486E-3</v>
      </c>
      <c r="DA24" s="21"/>
      <c r="DB24" s="19">
        <f t="shared" si="11"/>
        <v>9.6820719442343162E-3</v>
      </c>
      <c r="DC24" s="21"/>
      <c r="DD24" s="19">
        <f t="shared" si="12"/>
        <v>5.2781471040412864E-3</v>
      </c>
      <c r="DE24" s="21"/>
      <c r="DF24" s="19">
        <f t="shared" si="13"/>
        <v>1.3580334293804341E-2</v>
      </c>
      <c r="DG24" s="21"/>
      <c r="DH24" s="19">
        <f t="shared" si="14"/>
        <v>-6.1532373974724219E-3</v>
      </c>
      <c r="DI24" s="21"/>
      <c r="DJ24" s="19">
        <f t="shared" si="15"/>
        <v>-1.3433580456858607E-3</v>
      </c>
      <c r="DK24" s="21"/>
      <c r="DL24" s="19">
        <f t="shared" si="16"/>
        <v>1.4342186832525528E-3</v>
      </c>
      <c r="DM24" s="21"/>
      <c r="DN24" s="19">
        <f t="shared" si="17"/>
        <v>1.7712063421623236E-2</v>
      </c>
      <c r="DO24" s="21"/>
      <c r="DP24" s="19">
        <f t="shared" si="18"/>
        <v>9.86751576789624E-3</v>
      </c>
    </row>
    <row r="25" spans="1:120" ht="15.75" outlineLevel="1" thickBot="1" x14ac:dyDescent="0.3">
      <c r="A25" s="565">
        <v>21</v>
      </c>
      <c r="B25" s="3">
        <v>62345</v>
      </c>
      <c r="C25" s="3">
        <v>347</v>
      </c>
      <c r="D25" s="22">
        <f>IFERROR(Tabelle3[[#This Row],[Ned (€)]]/Tabelle3[[#This Row],[Ned (Backer)]],"")</f>
        <v>179.6685878962536</v>
      </c>
      <c r="E25" s="9">
        <v>119807</v>
      </c>
      <c r="F25" s="9">
        <v>711</v>
      </c>
      <c r="G25" s="3">
        <v>266116</v>
      </c>
      <c r="H25" s="3">
        <v>1572</v>
      </c>
      <c r="I25" s="9">
        <v>170701</v>
      </c>
      <c r="J25" s="9">
        <v>756</v>
      </c>
      <c r="K25" s="22">
        <f>Tabelle3[[#This Row],[Werkzeuge (€)]]/Tabelle3[[#This Row],[Werkzeuge (Backer)]]</f>
        <v>225.79497354497354</v>
      </c>
      <c r="L25" s="9">
        <v>123694</v>
      </c>
      <c r="M25" s="9">
        <v>658</v>
      </c>
      <c r="N25" s="22">
        <f>Tabelle3[[#This Row],[DSK Fasar (€)]]/Tabelle3[[#This Row],[DSK Fasar (Backer)]]</f>
        <v>187.98480243161094</v>
      </c>
      <c r="O25" s="3">
        <v>89991</v>
      </c>
      <c r="P25" s="3">
        <v>497</v>
      </c>
      <c r="Q25" s="22">
        <f>Tabelle3[[#This Row],[Mythen (€)]]/Tabelle3[[#This Row],[Mythen (Backer)]]</f>
        <v>181.06841046277665</v>
      </c>
      <c r="R25" s="3">
        <v>239077</v>
      </c>
      <c r="S25" s="3">
        <v>1664</v>
      </c>
      <c r="T25" s="564">
        <f>Tabelle3[[#This Row],[SOK (€)]]/Tabelle3[[#This Row],[SOK (Backer)]]</f>
        <v>143.67608173076923</v>
      </c>
      <c r="U25" s="3">
        <v>390507</v>
      </c>
      <c r="V25" s="3">
        <v>1658</v>
      </c>
      <c r="W25" s="22">
        <f>Tabelle3[[#This Row],[RE (€)]]/Tabelle3[[#This Row],[RE (Backer)]]</f>
        <v>235.52895054282268</v>
      </c>
      <c r="X25" s="3">
        <v>231430</v>
      </c>
      <c r="Y25" s="3">
        <v>975</v>
      </c>
      <c r="Z25" s="22">
        <f>Tabelle3[[#This Row],[DGG (€)]]/Tabelle3[[#This Row],[DGG (Backer)]]</f>
        <v>237.36410256410255</v>
      </c>
      <c r="AA25" s="3">
        <v>115113</v>
      </c>
      <c r="AB25" s="3">
        <v>645</v>
      </c>
      <c r="AC25" s="22">
        <f>Tabelle3[[#This Row],[DSK SV (€)]]/Tabelle3[[#This Row],[DSK SV (Backer)]]</f>
        <v>178.46976744186045</v>
      </c>
      <c r="AD25" s="3">
        <v>324435</v>
      </c>
      <c r="AE25" s="3">
        <v>1680</v>
      </c>
      <c r="AF25" s="564">
        <f>Tabelle3[[#This Row],[WW (€)]]/Tabelle3[[#This Row],[WW (Backer)]]</f>
        <v>193.11607142857142</v>
      </c>
      <c r="AG25" s="3">
        <v>36248</v>
      </c>
      <c r="AH25" s="3">
        <v>269</v>
      </c>
      <c r="AI25" s="564">
        <f>Tabelle3[[#This Row],[DSK R (€)]]/Tabelle3[[#This Row],[DSK R (Backer)]]</f>
        <v>134.75092936802974</v>
      </c>
      <c r="AJ25" s="3">
        <v>249219</v>
      </c>
      <c r="AK25" s="3">
        <v>1136</v>
      </c>
      <c r="AL25" s="564">
        <f>Tabelle3[[#This Row],[Ära (€)]]/Tabelle3[[#This Row],[Ära (Backer)]]</f>
        <v>219.38292253521126</v>
      </c>
      <c r="AM25" s="184">
        <f>'Übersicht &amp; Anleitung'!AS71</f>
        <v>84047</v>
      </c>
      <c r="AN25" s="184">
        <f>'Übersicht &amp; Anleitung'!AT71</f>
        <v>1157</v>
      </c>
      <c r="AO25" s="22">
        <f>Tabelle3[[#This Row],[Mosaik (€)]]/Tabelle3[[#This Row],[Mosaik (Backer)]]</f>
        <v>72.642178046672427</v>
      </c>
      <c r="AZ25" s="216" t="s">
        <v>216</v>
      </c>
      <c r="BA25" s="6">
        <f t="shared" si="0"/>
        <v>84047</v>
      </c>
      <c r="BB25" s="6">
        <f t="shared" si="1"/>
        <v>1157</v>
      </c>
      <c r="BC25" s="23">
        <f t="shared" si="19"/>
        <v>72.642178046672427</v>
      </c>
      <c r="BD25" s="6">
        <f t="shared" si="2"/>
        <v>84047</v>
      </c>
      <c r="BE25" s="6">
        <f t="shared" si="3"/>
        <v>1157</v>
      </c>
      <c r="BF25" s="23">
        <f t="shared" si="20"/>
        <v>72.642178046672427</v>
      </c>
      <c r="BG25" s="3">
        <f t="shared" si="4"/>
        <v>84047</v>
      </c>
      <c r="BH25" s="3">
        <f t="shared" si="5"/>
        <v>1157</v>
      </c>
      <c r="BI25" s="23">
        <f t="shared" si="21"/>
        <v>72.642178046672427</v>
      </c>
      <c r="BJ25" s="3">
        <f t="shared" si="22"/>
        <v>84047</v>
      </c>
      <c r="BK25" s="3">
        <f t="shared" si="23"/>
        <v>1157</v>
      </c>
      <c r="BL25" s="23">
        <f t="shared" si="24"/>
        <v>72.642178046672427</v>
      </c>
      <c r="BN25" s="216" t="s">
        <v>216</v>
      </c>
      <c r="BO25" s="16">
        <f t="shared" si="55"/>
        <v>1</v>
      </c>
      <c r="BP25" s="16">
        <f t="shared" si="56"/>
        <v>1</v>
      </c>
      <c r="BQ25" s="397">
        <f t="shared" si="57"/>
        <v>1</v>
      </c>
      <c r="BR25" s="397">
        <f t="shared" si="58"/>
        <v>1</v>
      </c>
      <c r="BS25" s="397">
        <f t="shared" si="59"/>
        <v>1</v>
      </c>
      <c r="BT25" s="397">
        <f t="shared" si="60"/>
        <v>1</v>
      </c>
      <c r="BU25" s="17">
        <f t="shared" si="6"/>
        <v>1</v>
      </c>
      <c r="BV25" s="7">
        <f t="shared" si="7"/>
        <v>1</v>
      </c>
      <c r="BW25" s="28"/>
      <c r="BX25" s="32"/>
      <c r="BY25" s="12">
        <f t="shared" si="25"/>
        <v>1</v>
      </c>
      <c r="BZ25" s="13">
        <f t="shared" si="26"/>
        <v>1</v>
      </c>
      <c r="CA25" s="12">
        <f t="shared" si="27"/>
        <v>1</v>
      </c>
      <c r="CB25" s="29">
        <f t="shared" si="28"/>
        <v>1</v>
      </c>
      <c r="CC25" s="12">
        <f t="shared" si="29"/>
        <v>1</v>
      </c>
      <c r="CD25" s="29">
        <f t="shared" si="30"/>
        <v>1</v>
      </c>
      <c r="CE25" s="12">
        <f t="shared" si="31"/>
        <v>1</v>
      </c>
      <c r="CF25" s="29">
        <f t="shared" si="32"/>
        <v>1</v>
      </c>
      <c r="CG25" s="12">
        <f t="shared" si="33"/>
        <v>1</v>
      </c>
      <c r="CH25" s="29">
        <f t="shared" si="34"/>
        <v>1</v>
      </c>
      <c r="CI25" s="12">
        <f t="shared" si="35"/>
        <v>1</v>
      </c>
      <c r="CJ25" s="29">
        <f t="shared" si="36"/>
        <v>1</v>
      </c>
      <c r="CK25" s="12">
        <f t="shared" si="37"/>
        <v>1</v>
      </c>
      <c r="CL25" s="29">
        <f t="shared" si="38"/>
        <v>1</v>
      </c>
      <c r="CM25" s="12">
        <f t="shared" si="39"/>
        <v>1</v>
      </c>
      <c r="CN25" s="29">
        <f t="shared" si="40"/>
        <v>1</v>
      </c>
      <c r="CO25" s="12">
        <f t="shared" si="41"/>
        <v>1</v>
      </c>
      <c r="CP25" s="29">
        <f t="shared" si="42"/>
        <v>1</v>
      </c>
      <c r="CQ25" s="12">
        <f t="shared" si="43"/>
        <v>1</v>
      </c>
      <c r="CR25" s="29">
        <f t="shared" si="44"/>
        <v>1</v>
      </c>
      <c r="CS25" s="18"/>
      <c r="CT25" s="20">
        <f t="shared" si="8"/>
        <v>0</v>
      </c>
      <c r="CU25" s="33"/>
      <c r="CV25" s="34"/>
      <c r="CW25" s="30"/>
      <c r="CX25" s="31">
        <f t="shared" si="9"/>
        <v>0</v>
      </c>
      <c r="CY25" s="21"/>
      <c r="CZ25" s="19">
        <f t="shared" si="10"/>
        <v>0</v>
      </c>
      <c r="DA25" s="21"/>
      <c r="DB25" s="19">
        <f t="shared" si="11"/>
        <v>0</v>
      </c>
      <c r="DC25" s="21"/>
      <c r="DD25" s="19">
        <f t="shared" si="12"/>
        <v>0</v>
      </c>
      <c r="DE25" s="21"/>
      <c r="DF25" s="19">
        <f t="shared" si="13"/>
        <v>0</v>
      </c>
      <c r="DG25" s="21"/>
      <c r="DH25" s="19">
        <f t="shared" si="14"/>
        <v>0</v>
      </c>
      <c r="DI25" s="21"/>
      <c r="DJ25" s="19">
        <f t="shared" si="15"/>
        <v>0</v>
      </c>
      <c r="DK25" s="21"/>
      <c r="DL25" s="19">
        <f t="shared" si="16"/>
        <v>0</v>
      </c>
      <c r="DM25" s="21"/>
      <c r="DN25" s="19">
        <f t="shared" si="17"/>
        <v>0</v>
      </c>
      <c r="DO25" s="21"/>
      <c r="DP25" s="19">
        <f t="shared" si="18"/>
        <v>0</v>
      </c>
    </row>
    <row r="26" spans="1:120" outlineLevel="1" x14ac:dyDescent="0.25"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</row>
    <row r="27" spans="1:120" outlineLevel="1" x14ac:dyDescent="0.25">
      <c r="A27" s="529" t="s">
        <v>327</v>
      </c>
      <c r="F27"/>
      <c r="L27"/>
      <c r="M27"/>
      <c r="N27"/>
      <c r="AA27" s="24"/>
      <c r="AH27" s="24"/>
      <c r="AI27" s="24"/>
      <c r="AM27" s="724" t="s">
        <v>350</v>
      </c>
      <c r="AN27" s="724"/>
      <c r="AO27" s="558"/>
      <c r="AZ27" s="216" t="s">
        <v>325</v>
      </c>
      <c r="BA27" s="6">
        <f>AVERAGE(BA5:BA20)</f>
        <v>78240.282153116568</v>
      </c>
      <c r="BB27" s="6">
        <f>AVERAGE(BB5:BB20)</f>
        <v>1058.4402221041355</v>
      </c>
      <c r="BC27" s="23">
        <f>BA27/BB27</f>
        <v>73.920359902402538</v>
      </c>
      <c r="BD27" s="6">
        <f>AVERAGE(BD5:BD20)</f>
        <v>127670.50721121128</v>
      </c>
      <c r="BE27" s="6">
        <f>AVERAGE(BE5:BE20)</f>
        <v>1778.3532583987223</v>
      </c>
      <c r="BF27" s="23">
        <f t="shared" ref="BF27" si="63">BD27/BE27</f>
        <v>71.791420859862953</v>
      </c>
      <c r="BG27" s="3">
        <f>AVERAGE(BA27,BD27)</f>
        <v>102955.39468216393</v>
      </c>
      <c r="BH27" s="3">
        <f>AVERAGE(BB27,BE27)</f>
        <v>1418.396740251429</v>
      </c>
      <c r="BI27" s="23">
        <f t="shared" ref="BI27" si="64">BG27/BH27</f>
        <v>72.585752462963043</v>
      </c>
      <c r="BJ27" s="3">
        <f>AVERAGE(BD27,BG27)</f>
        <v>115312.9509466876</v>
      </c>
      <c r="BK27" s="3">
        <f>AVERAGE(BE27,BH27)</f>
        <v>1598.3749993250758</v>
      </c>
      <c r="BL27" s="23">
        <f t="shared" ref="BL27:BL28" si="65">BJ27/BK27</f>
        <v>72.143865485495738</v>
      </c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</row>
    <row r="28" spans="1:120" outlineLevel="1" x14ac:dyDescent="0.25">
      <c r="A28" s="377" t="s">
        <v>31</v>
      </c>
      <c r="B28" s="432" t="s">
        <v>70</v>
      </c>
      <c r="C28" s="433" t="s">
        <v>71</v>
      </c>
      <c r="D28" s="542"/>
      <c r="E28" s="435" t="s">
        <v>52</v>
      </c>
      <c r="F28" s="436" t="s">
        <v>53</v>
      </c>
      <c r="G28" s="437" t="s">
        <v>48</v>
      </c>
      <c r="H28" s="438" t="s">
        <v>49</v>
      </c>
      <c r="I28" s="435" t="s">
        <v>50</v>
      </c>
      <c r="J28" s="436" t="s">
        <v>51</v>
      </c>
      <c r="K28" s="542"/>
      <c r="L28" s="439" t="s">
        <v>136</v>
      </c>
      <c r="M28" s="440" t="s">
        <v>137</v>
      </c>
      <c r="N28" s="442"/>
      <c r="O28" s="432" t="s">
        <v>72</v>
      </c>
      <c r="P28" s="433" t="s">
        <v>73</v>
      </c>
      <c r="Q28" s="433"/>
      <c r="R28" s="437" t="s">
        <v>87</v>
      </c>
      <c r="S28" s="438" t="s">
        <v>88</v>
      </c>
      <c r="T28" s="438"/>
      <c r="U28" s="434" t="s">
        <v>94</v>
      </c>
      <c r="V28" s="434" t="s">
        <v>95</v>
      </c>
      <c r="W28" s="434"/>
      <c r="X28" s="434" t="s">
        <v>110</v>
      </c>
      <c r="Y28" s="434" t="s">
        <v>113</v>
      </c>
      <c r="Z28" s="434"/>
      <c r="AA28" s="439" t="s">
        <v>132</v>
      </c>
      <c r="AB28" s="440" t="s">
        <v>133</v>
      </c>
      <c r="AC28" s="442"/>
      <c r="AD28" s="437" t="s">
        <v>134</v>
      </c>
      <c r="AE28" s="438" t="s">
        <v>135</v>
      </c>
      <c r="AF28" s="438"/>
      <c r="AG28" s="439" t="s">
        <v>154</v>
      </c>
      <c r="AH28" s="440" t="s">
        <v>153</v>
      </c>
      <c r="AI28" s="442"/>
      <c r="AJ28" s="434" t="s">
        <v>169</v>
      </c>
      <c r="AK28" s="434" t="s">
        <v>170</v>
      </c>
      <c r="AL28" s="434"/>
      <c r="AM28" s="434" t="s">
        <v>199</v>
      </c>
      <c r="AN28" s="434" t="s">
        <v>200</v>
      </c>
      <c r="AO28" s="559"/>
      <c r="AP28" s="712" t="s">
        <v>351</v>
      </c>
      <c r="AQ28" s="712"/>
      <c r="AR28" s="512"/>
      <c r="AZ28" s="216" t="s">
        <v>324</v>
      </c>
      <c r="BA28" s="6">
        <f>MIN(BA5:BA20)</f>
        <v>69164.08224215747</v>
      </c>
      <c r="BB28" s="6">
        <f>MIN(BB5:BB20)</f>
        <v>923.8528</v>
      </c>
      <c r="BC28" s="23">
        <f>BA28/BB28</f>
        <v>74.864829377750951</v>
      </c>
      <c r="BD28" s="6">
        <f>MAX(BD5:BD20)</f>
        <v>163393.40438428122</v>
      </c>
      <c r="BE28" s="6">
        <f>MAX(BE5:BE20)</f>
        <v>2189.9555555555553</v>
      </c>
      <c r="BF28" s="23">
        <f t="shared" ref="BF28" si="66">BD28/BE28</f>
        <v>74.610374612297107</v>
      </c>
      <c r="BG28" s="3">
        <f>AVERAGE(BA28,BD28)</f>
        <v>116278.74331321934</v>
      </c>
      <c r="BH28" s="3">
        <f>AVERAGE(BB28,BE28)</f>
        <v>1556.9041777777777</v>
      </c>
      <c r="BI28" s="23">
        <f t="shared" ref="BI28" si="67">BG28/BH28</f>
        <v>74.685870185786229</v>
      </c>
      <c r="BJ28" s="3">
        <f>AVERAGE(BD28,BG28)</f>
        <v>139836.07384875027</v>
      </c>
      <c r="BK28" s="3">
        <f>AVERAGE(BE28,BH28)</f>
        <v>1873.4298666666664</v>
      </c>
      <c r="BL28" s="23">
        <f t="shared" si="65"/>
        <v>74.64174471476538</v>
      </c>
      <c r="BM28" s="216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</row>
    <row r="29" spans="1:120" ht="15.75" outlineLevel="1" thickBot="1" x14ac:dyDescent="0.3">
      <c r="A29" s="444">
        <v>0</v>
      </c>
      <c r="B29" s="428">
        <v>0</v>
      </c>
      <c r="C29" s="428">
        <v>0</v>
      </c>
      <c r="D29" s="543"/>
      <c r="E29" s="428"/>
      <c r="F29" s="428"/>
      <c r="G29" s="428"/>
      <c r="H29" s="428"/>
      <c r="I29" s="428">
        <v>0</v>
      </c>
      <c r="J29" s="428">
        <v>0</v>
      </c>
      <c r="K29" s="543"/>
      <c r="L29" s="428">
        <v>0</v>
      </c>
      <c r="M29" s="428">
        <v>0</v>
      </c>
      <c r="N29" s="428"/>
      <c r="O29" s="428">
        <v>0</v>
      </c>
      <c r="P29" s="428">
        <v>0</v>
      </c>
      <c r="Q29" s="494"/>
      <c r="R29" s="494">
        <v>0</v>
      </c>
      <c r="S29" s="494">
        <v>0</v>
      </c>
      <c r="T29" s="494"/>
      <c r="U29" s="428">
        <v>0</v>
      </c>
      <c r="V29" s="428">
        <v>0</v>
      </c>
      <c r="W29" s="428"/>
      <c r="X29" s="428">
        <v>0</v>
      </c>
      <c r="Y29" s="428">
        <v>0</v>
      </c>
      <c r="Z29" s="428"/>
      <c r="AA29" s="428">
        <v>0</v>
      </c>
      <c r="AB29" s="428">
        <v>0</v>
      </c>
      <c r="AC29" s="428"/>
      <c r="AD29" s="428">
        <v>0</v>
      </c>
      <c r="AE29" s="428">
        <v>0</v>
      </c>
      <c r="AF29" s="428"/>
      <c r="AG29" s="428">
        <v>0</v>
      </c>
      <c r="AH29" s="428">
        <v>0</v>
      </c>
      <c r="AI29" s="428"/>
      <c r="AJ29" s="428">
        <v>0</v>
      </c>
      <c r="AK29" s="428">
        <v>0</v>
      </c>
      <c r="AL29" s="428"/>
      <c r="AM29" s="505">
        <v>0</v>
      </c>
      <c r="AN29" s="505">
        <v>0</v>
      </c>
      <c r="AO29" s="503"/>
      <c r="AP29" s="503">
        <f t="shared" ref="AP29:AP46" si="68">AVERAGE(B29,I29,L29,O29,R29,U29,X29,AA29,AD29,AG29,AJ29)</f>
        <v>0</v>
      </c>
      <c r="AQ29" s="503">
        <f t="shared" ref="AQ29:AQ50" si="69">AVERAGE(C29,J29,M29,P29,S29,V29,Y29,AB29,AE29,AH29,AK29)</f>
        <v>0</v>
      </c>
      <c r="AR29" s="503"/>
      <c r="AY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</row>
    <row r="30" spans="1:120" ht="15.75" outlineLevel="1" thickBot="1" x14ac:dyDescent="0.3">
      <c r="A30" s="444">
        <v>1</v>
      </c>
      <c r="B30" s="428">
        <f t="shared" ref="B30:C50" si="70">B5/B$25</f>
        <v>0.23692357045472773</v>
      </c>
      <c r="C30" s="428">
        <f t="shared" si="70"/>
        <v>0.21037463976945245</v>
      </c>
      <c r="D30" s="543"/>
      <c r="E30" s="427"/>
      <c r="F30" s="427"/>
      <c r="G30" s="428"/>
      <c r="H30" s="428"/>
      <c r="I30" s="428">
        <f t="shared" ref="I30:AN30" si="71">I5/I$25</f>
        <v>0.25446248118054376</v>
      </c>
      <c r="J30" s="428">
        <f t="shared" si="71"/>
        <v>0.23677248677248677</v>
      </c>
      <c r="K30" s="543"/>
      <c r="L30" s="494">
        <f t="shared" si="71"/>
        <v>0.29429074975342379</v>
      </c>
      <c r="M30" s="494">
        <f t="shared" si="71"/>
        <v>0.29635258358662614</v>
      </c>
      <c r="N30" s="494"/>
      <c r="O30" s="428">
        <f t="shared" si="71"/>
        <v>0.21793290440155128</v>
      </c>
      <c r="P30" s="428">
        <f t="shared" si="71"/>
        <v>0.23138832997987926</v>
      </c>
      <c r="Q30" s="540"/>
      <c r="R30" s="493">
        <f t="shared" si="71"/>
        <v>0.37533932582389773</v>
      </c>
      <c r="S30" s="493">
        <f t="shared" si="71"/>
        <v>0.37560096153846156</v>
      </c>
      <c r="T30" s="540"/>
      <c r="U30" s="428">
        <f t="shared" si="71"/>
        <v>0.212457139052565</v>
      </c>
      <c r="V30" s="428">
        <f t="shared" si="71"/>
        <v>0.20566948130277443</v>
      </c>
      <c r="W30" s="494"/>
      <c r="X30" s="494">
        <f t="shared" si="71"/>
        <v>0.33040660242838005</v>
      </c>
      <c r="Y30" s="494">
        <f t="shared" si="71"/>
        <v>0.32512820512820512</v>
      </c>
      <c r="Z30" s="494"/>
      <c r="AA30" s="428">
        <f t="shared" si="71"/>
        <v>0.23216317878953724</v>
      </c>
      <c r="AB30" s="428">
        <f t="shared" si="71"/>
        <v>0.21085271317829457</v>
      </c>
      <c r="AC30" s="494"/>
      <c r="AD30" s="494">
        <f t="shared" si="71"/>
        <v>0.29954536347804644</v>
      </c>
      <c r="AE30" s="494">
        <f t="shared" si="71"/>
        <v>0.29107142857142859</v>
      </c>
      <c r="AF30" s="494"/>
      <c r="AG30" s="428">
        <f t="shared" si="71"/>
        <v>0.23055065107040387</v>
      </c>
      <c r="AH30" s="428">
        <f t="shared" si="71"/>
        <v>0.24907063197026022</v>
      </c>
      <c r="AI30" s="428"/>
      <c r="AJ30" s="428">
        <f t="shared" si="71"/>
        <v>0.15888034218899844</v>
      </c>
      <c r="AK30" s="428">
        <f t="shared" si="71"/>
        <v>0.15845070422535212</v>
      </c>
      <c r="AL30" s="494"/>
      <c r="AM30" s="506">
        <f t="shared" si="71"/>
        <v>0.30887479624495817</v>
      </c>
      <c r="AN30" s="506">
        <f t="shared" si="71"/>
        <v>0.2999135695764909</v>
      </c>
      <c r="AO30" s="503"/>
      <c r="AP30" s="503">
        <f t="shared" si="68"/>
        <v>0.2584502098747341</v>
      </c>
      <c r="AQ30" s="503">
        <f t="shared" si="69"/>
        <v>0.2537029241839292</v>
      </c>
      <c r="AR30" s="503"/>
      <c r="AY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</row>
    <row r="31" spans="1:120" ht="15.75" outlineLevel="1" thickBot="1" x14ac:dyDescent="0.3">
      <c r="A31" s="445">
        <v>2</v>
      </c>
      <c r="B31" s="426">
        <f t="shared" si="70"/>
        <v>0.2688908493062796</v>
      </c>
      <c r="C31" s="426">
        <f t="shared" si="70"/>
        <v>0.23631123919308358</v>
      </c>
      <c r="D31" s="544"/>
      <c r="E31" s="427"/>
      <c r="F31" s="427"/>
      <c r="G31" s="427"/>
      <c r="H31" s="427"/>
      <c r="I31" s="426">
        <f t="shared" ref="I31:AN31" si="72">I6/I$25</f>
        <v>0.29010960685643317</v>
      </c>
      <c r="J31" s="426">
        <f t="shared" si="72"/>
        <v>0.2724867724867725</v>
      </c>
      <c r="K31" s="544"/>
      <c r="L31" s="496">
        <f t="shared" si="72"/>
        <v>0.34487525668181157</v>
      </c>
      <c r="M31" s="496">
        <f t="shared" si="72"/>
        <v>0.35410334346504557</v>
      </c>
      <c r="N31" s="555"/>
      <c r="O31" s="426">
        <f t="shared" si="72"/>
        <v>0.27260503828160593</v>
      </c>
      <c r="P31" s="426">
        <f t="shared" si="72"/>
        <v>0.29175050301810868</v>
      </c>
      <c r="Q31" s="492"/>
      <c r="R31" s="492">
        <f t="shared" si="72"/>
        <v>0.47684637167105159</v>
      </c>
      <c r="S31" s="492">
        <f t="shared" si="72"/>
        <v>0.47415865384615385</v>
      </c>
      <c r="T31" s="492"/>
      <c r="U31" s="426">
        <f t="shared" si="72"/>
        <v>0.24667419534092858</v>
      </c>
      <c r="V31" s="426">
        <f t="shared" si="72"/>
        <v>0.24366706875753921</v>
      </c>
      <c r="W31" s="555"/>
      <c r="X31" s="496">
        <f t="shared" si="72"/>
        <v>0.4329473274856328</v>
      </c>
      <c r="Y31" s="496">
        <f t="shared" si="72"/>
        <v>0.4276923076923077</v>
      </c>
      <c r="Z31" s="555"/>
      <c r="AA31" s="426">
        <f t="shared" si="72"/>
        <v>0.28160155673121195</v>
      </c>
      <c r="AB31" s="426">
        <f t="shared" si="72"/>
        <v>0.26666666666666666</v>
      </c>
      <c r="AC31" s="555"/>
      <c r="AD31" s="496">
        <f t="shared" si="72"/>
        <v>0.37416739870852406</v>
      </c>
      <c r="AE31" s="496">
        <f t="shared" si="72"/>
        <v>0.36785714285714288</v>
      </c>
      <c r="AF31" s="555"/>
      <c r="AG31" s="491">
        <f t="shared" si="72"/>
        <v>0.3154105054071949</v>
      </c>
      <c r="AH31" s="491">
        <f t="shared" si="72"/>
        <v>0.33085501858736061</v>
      </c>
      <c r="AI31" s="491"/>
      <c r="AJ31" s="426">
        <f t="shared" si="72"/>
        <v>0.22318924319574351</v>
      </c>
      <c r="AK31" s="426">
        <f t="shared" si="72"/>
        <v>0.22535211267605634</v>
      </c>
      <c r="AL31" s="555"/>
      <c r="AM31" s="507">
        <f t="shared" si="72"/>
        <v>0.42490511261556035</v>
      </c>
      <c r="AN31" s="507">
        <f t="shared" si="72"/>
        <v>0.41745894554883317</v>
      </c>
      <c r="AO31" s="560"/>
      <c r="AP31" s="503">
        <f t="shared" si="68"/>
        <v>0.32066521360603795</v>
      </c>
      <c r="AQ31" s="503">
        <f t="shared" si="69"/>
        <v>0.31735462084056709</v>
      </c>
      <c r="AR31" s="503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</row>
    <row r="32" spans="1:120" ht="15.75" outlineLevel="1" thickBot="1" x14ac:dyDescent="0.3">
      <c r="A32" s="444">
        <v>3</v>
      </c>
      <c r="B32" s="428">
        <f t="shared" si="70"/>
        <v>0.2834870478787393</v>
      </c>
      <c r="C32" s="428">
        <f t="shared" si="70"/>
        <v>0.25936599423631124</v>
      </c>
      <c r="D32" s="543"/>
      <c r="E32" s="428"/>
      <c r="F32" s="428"/>
      <c r="G32" s="427"/>
      <c r="H32" s="427"/>
      <c r="I32" s="494">
        <f t="shared" ref="I32:AN32" si="73">I7/I$25</f>
        <v>0.31576264931078318</v>
      </c>
      <c r="J32" s="428">
        <f t="shared" si="73"/>
        <v>0.29629629629629628</v>
      </c>
      <c r="K32" s="543"/>
      <c r="L32" s="495">
        <f t="shared" si="73"/>
        <v>0.36600805212864002</v>
      </c>
      <c r="M32" s="495">
        <f t="shared" si="73"/>
        <v>0.37689969604863222</v>
      </c>
      <c r="N32" s="540"/>
      <c r="O32" s="494">
        <f t="shared" si="73"/>
        <v>0.30748630418597417</v>
      </c>
      <c r="P32" s="494">
        <f t="shared" si="73"/>
        <v>0.32595573440643866</v>
      </c>
      <c r="Q32" s="494"/>
      <c r="R32" s="428">
        <f t="shared" si="73"/>
        <v>0.51246669483053575</v>
      </c>
      <c r="S32" s="428">
        <f t="shared" si="73"/>
        <v>0.51201923076923073</v>
      </c>
      <c r="T32" s="428"/>
      <c r="U32" s="428">
        <f t="shared" si="73"/>
        <v>0.29486539293789871</v>
      </c>
      <c r="V32" s="428">
        <f t="shared" si="73"/>
        <v>0.28950542822677927</v>
      </c>
      <c r="W32" s="495"/>
      <c r="X32" s="495">
        <f t="shared" si="73"/>
        <v>0.47741433694853735</v>
      </c>
      <c r="Y32" s="495">
        <f t="shared" si="73"/>
        <v>0.46974358974358976</v>
      </c>
      <c r="Z32" s="540"/>
      <c r="AA32" s="494">
        <f t="shared" si="73"/>
        <v>0.33176965242848333</v>
      </c>
      <c r="AB32" s="494">
        <f t="shared" si="73"/>
        <v>0.30852713178294572</v>
      </c>
      <c r="AC32" s="540"/>
      <c r="AD32" s="495">
        <f t="shared" si="73"/>
        <v>0.44334612480157815</v>
      </c>
      <c r="AE32" s="495">
        <f t="shared" si="73"/>
        <v>0.43511904761904763</v>
      </c>
      <c r="AF32" s="540"/>
      <c r="AG32" s="493">
        <f t="shared" si="73"/>
        <v>0.3629993378945045</v>
      </c>
      <c r="AH32" s="493">
        <f t="shared" si="73"/>
        <v>0.37546468401486988</v>
      </c>
      <c r="AI32" s="540"/>
      <c r="AJ32" s="428">
        <f t="shared" si="73"/>
        <v>0.26278092761787825</v>
      </c>
      <c r="AK32" s="428">
        <f t="shared" si="73"/>
        <v>0.26496478873239437</v>
      </c>
      <c r="AL32" s="495"/>
      <c r="AM32" s="508">
        <f t="shared" si="73"/>
        <v>0.46808333432484206</v>
      </c>
      <c r="AN32" s="508">
        <f t="shared" si="73"/>
        <v>0.46326707000864303</v>
      </c>
      <c r="AO32" s="503"/>
      <c r="AP32" s="503">
        <f t="shared" si="68"/>
        <v>0.35985332008759569</v>
      </c>
      <c r="AQ32" s="503">
        <f t="shared" si="69"/>
        <v>0.35580560198877592</v>
      </c>
      <c r="AR32" s="503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</row>
    <row r="33" spans="1:113" ht="15.75" outlineLevel="1" thickBot="1" x14ac:dyDescent="0.3">
      <c r="A33" s="445">
        <v>4</v>
      </c>
      <c r="B33" s="491">
        <f t="shared" si="70"/>
        <v>0.30284706071056222</v>
      </c>
      <c r="C33" s="426">
        <f t="shared" si="70"/>
        <v>0.2737752161383285</v>
      </c>
      <c r="D33" s="544"/>
      <c r="E33" s="427"/>
      <c r="F33" s="427"/>
      <c r="G33" s="427"/>
      <c r="H33" s="427"/>
      <c r="I33" s="496">
        <f t="shared" ref="I33:AN33" si="74">I8/I$25</f>
        <v>0.35127503646727321</v>
      </c>
      <c r="J33" s="491">
        <f t="shared" si="74"/>
        <v>0.32671957671957674</v>
      </c>
      <c r="K33" s="544"/>
      <c r="L33" s="426">
        <f t="shared" si="74"/>
        <v>0.38770676023089234</v>
      </c>
      <c r="M33" s="426">
        <f t="shared" si="74"/>
        <v>0.40121580547112462</v>
      </c>
      <c r="N33" s="555"/>
      <c r="O33" s="496">
        <f t="shared" si="74"/>
        <v>0.33696703003633699</v>
      </c>
      <c r="P33" s="496">
        <f t="shared" si="74"/>
        <v>0.35814889336016098</v>
      </c>
      <c r="Q33" s="555"/>
      <c r="R33" s="426">
        <f t="shared" si="74"/>
        <v>0.53373599300643726</v>
      </c>
      <c r="S33" s="426">
        <f t="shared" si="74"/>
        <v>0.53545673076923073</v>
      </c>
      <c r="T33" s="491"/>
      <c r="U33" s="491">
        <f t="shared" si="74"/>
        <v>0.31711083284038444</v>
      </c>
      <c r="V33" s="491">
        <f t="shared" si="74"/>
        <v>0.31363088057901084</v>
      </c>
      <c r="W33" s="491"/>
      <c r="X33" s="426">
        <f t="shared" si="74"/>
        <v>0.50695674718057293</v>
      </c>
      <c r="Y33" s="426">
        <f t="shared" si="74"/>
        <v>0.49846153846153846</v>
      </c>
      <c r="Z33" s="555"/>
      <c r="AA33" s="496">
        <f t="shared" si="74"/>
        <v>0.36135796999470088</v>
      </c>
      <c r="AB33" s="496">
        <f t="shared" si="74"/>
        <v>0.33798449612403103</v>
      </c>
      <c r="AC33" s="555"/>
      <c r="AD33" s="426">
        <f t="shared" si="74"/>
        <v>0.48342194892659546</v>
      </c>
      <c r="AE33" s="426">
        <f t="shared" si="74"/>
        <v>0.47440476190476188</v>
      </c>
      <c r="AF33" s="492"/>
      <c r="AG33" s="492">
        <f t="shared" si="74"/>
        <v>0.39271132200397263</v>
      </c>
      <c r="AH33" s="492">
        <f t="shared" si="74"/>
        <v>0.40892193308550184</v>
      </c>
      <c r="AI33" s="492"/>
      <c r="AJ33" s="426">
        <f t="shared" si="74"/>
        <v>0.28021138035222032</v>
      </c>
      <c r="AK33" s="426">
        <f t="shared" si="74"/>
        <v>0.28433098591549294</v>
      </c>
      <c r="AL33" s="426"/>
      <c r="AM33" s="509">
        <f t="shared" si="74"/>
        <v>0.51466441395885631</v>
      </c>
      <c r="AN33" s="509">
        <f t="shared" si="74"/>
        <v>0.5056179775280899</v>
      </c>
      <c r="AO33" s="560"/>
      <c r="AP33" s="504">
        <f t="shared" si="68"/>
        <v>0.38675473470454075</v>
      </c>
      <c r="AQ33" s="504">
        <f t="shared" si="69"/>
        <v>0.38300461986625078</v>
      </c>
      <c r="AR33" s="503"/>
      <c r="AS33" t="s">
        <v>89</v>
      </c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</row>
    <row r="34" spans="1:113" ht="15.75" outlineLevel="1" thickBot="1" x14ac:dyDescent="0.3">
      <c r="A34" s="444">
        <v>5</v>
      </c>
      <c r="B34" s="493">
        <f t="shared" si="70"/>
        <v>0.35104659555698131</v>
      </c>
      <c r="C34" s="428">
        <f t="shared" si="70"/>
        <v>0.31988472622478387</v>
      </c>
      <c r="D34" s="543"/>
      <c r="E34" s="427"/>
      <c r="F34" s="427"/>
      <c r="G34" s="427"/>
      <c r="H34" s="427"/>
      <c r="I34" s="495">
        <f t="shared" ref="I34:AN34" si="75">I9/I$25</f>
        <v>0.36974007182148905</v>
      </c>
      <c r="J34" s="493">
        <f t="shared" si="75"/>
        <v>0.34920634920634919</v>
      </c>
      <c r="K34" s="543"/>
      <c r="L34" s="428">
        <f t="shared" si="75"/>
        <v>0.41039177324688342</v>
      </c>
      <c r="M34" s="428">
        <f t="shared" si="75"/>
        <v>0.42553191489361702</v>
      </c>
      <c r="N34" s="495"/>
      <c r="O34" s="495">
        <f t="shared" si="75"/>
        <v>0.36249180473602916</v>
      </c>
      <c r="P34" s="495">
        <f t="shared" si="75"/>
        <v>0.38430583501006038</v>
      </c>
      <c r="Q34" s="495"/>
      <c r="R34" s="428">
        <f t="shared" si="75"/>
        <v>0.54908669591805148</v>
      </c>
      <c r="S34" s="428">
        <f t="shared" si="75"/>
        <v>0.55168269230769229</v>
      </c>
      <c r="T34" s="540"/>
      <c r="U34" s="493">
        <f t="shared" si="75"/>
        <v>0.33802723126602086</v>
      </c>
      <c r="V34" s="493">
        <f t="shared" si="75"/>
        <v>0.34016887816646563</v>
      </c>
      <c r="W34" s="540"/>
      <c r="X34" s="428">
        <f t="shared" si="75"/>
        <v>0.52010543144795407</v>
      </c>
      <c r="Y34" s="428">
        <f t="shared" si="75"/>
        <v>0.5097435897435898</v>
      </c>
      <c r="Z34" s="495"/>
      <c r="AA34" s="495">
        <f t="shared" si="75"/>
        <v>0.38534309765187252</v>
      </c>
      <c r="AB34" s="495">
        <f t="shared" si="75"/>
        <v>0.36434108527131781</v>
      </c>
      <c r="AC34" s="495"/>
      <c r="AD34" s="428">
        <f t="shared" si="75"/>
        <v>0.51457765037680891</v>
      </c>
      <c r="AE34" s="428">
        <f t="shared" si="75"/>
        <v>0.50416666666666665</v>
      </c>
      <c r="AF34" s="428"/>
      <c r="AG34" s="428">
        <f t="shared" si="75"/>
        <v>0.41422975060693001</v>
      </c>
      <c r="AH34" s="428">
        <f t="shared" si="75"/>
        <v>0.43122676579925651</v>
      </c>
      <c r="AI34" s="494"/>
      <c r="AJ34" s="494">
        <f t="shared" si="75"/>
        <v>0.30315104386102182</v>
      </c>
      <c r="AK34" s="494">
        <f t="shared" si="75"/>
        <v>0.30897887323943662</v>
      </c>
      <c r="AL34" s="494"/>
      <c r="AM34" s="505">
        <f t="shared" si="75"/>
        <v>0.53501017287946029</v>
      </c>
      <c r="AN34" s="505">
        <f t="shared" si="75"/>
        <v>0.5280898876404494</v>
      </c>
      <c r="AO34" s="503"/>
      <c r="AP34" s="503">
        <f t="shared" si="68"/>
        <v>0.41074464968091301</v>
      </c>
      <c r="AQ34" s="503">
        <f t="shared" si="69"/>
        <v>0.40811248877538503</v>
      </c>
      <c r="AR34" s="503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</row>
    <row r="35" spans="1:113" ht="15.75" outlineLevel="1" thickBot="1" x14ac:dyDescent="0.3">
      <c r="A35" s="445">
        <v>6</v>
      </c>
      <c r="B35" s="492">
        <f t="shared" si="70"/>
        <v>0.36203384393295374</v>
      </c>
      <c r="C35" s="491">
        <f t="shared" si="70"/>
        <v>0.33141210374639768</v>
      </c>
      <c r="D35" s="545"/>
      <c r="E35" s="427"/>
      <c r="F35" s="427"/>
      <c r="G35" s="427"/>
      <c r="H35" s="427"/>
      <c r="I35" s="426">
        <f t="shared" ref="I35:AN35" si="76">I10/I$25</f>
        <v>0.38164978529709842</v>
      </c>
      <c r="J35" s="492">
        <f t="shared" si="76"/>
        <v>0.36243386243386244</v>
      </c>
      <c r="K35" s="545"/>
      <c r="L35" s="426">
        <f t="shared" si="76"/>
        <v>0.43517874755444891</v>
      </c>
      <c r="M35" s="426">
        <f t="shared" si="76"/>
        <v>0.44680851063829785</v>
      </c>
      <c r="N35" s="426"/>
      <c r="O35" s="426">
        <f t="shared" si="76"/>
        <v>0.41649720527608314</v>
      </c>
      <c r="P35" s="426">
        <f t="shared" si="76"/>
        <v>0.44265593561368211</v>
      </c>
      <c r="Q35" s="426"/>
      <c r="R35" s="426">
        <f t="shared" si="76"/>
        <v>0.56715200542084765</v>
      </c>
      <c r="S35" s="426">
        <f t="shared" si="76"/>
        <v>0.57271634615384615</v>
      </c>
      <c r="T35" s="492"/>
      <c r="U35" s="492">
        <f t="shared" si="76"/>
        <v>0.38656669406694372</v>
      </c>
      <c r="V35" s="492">
        <f t="shared" si="76"/>
        <v>0.39324487334137515</v>
      </c>
      <c r="W35" s="492"/>
      <c r="X35" s="426">
        <f t="shared" si="76"/>
        <v>0.53233375102622826</v>
      </c>
      <c r="Y35" s="426">
        <f t="shared" si="76"/>
        <v>0.52102564102564097</v>
      </c>
      <c r="Z35" s="426"/>
      <c r="AA35" s="426">
        <f t="shared" si="76"/>
        <v>0.39576763701753931</v>
      </c>
      <c r="AB35" s="426">
        <f t="shared" si="76"/>
        <v>0.37364341085271319</v>
      </c>
      <c r="AC35" s="426"/>
      <c r="AD35" s="426">
        <f t="shared" si="76"/>
        <v>0.5423151016382326</v>
      </c>
      <c r="AE35" s="426">
        <f t="shared" si="76"/>
        <v>0.53630952380952379</v>
      </c>
      <c r="AF35" s="426"/>
      <c r="AG35" s="426">
        <f t="shared" si="76"/>
        <v>0.44794195541822995</v>
      </c>
      <c r="AH35" s="426">
        <f t="shared" si="76"/>
        <v>0.45724907063197023</v>
      </c>
      <c r="AI35" s="555"/>
      <c r="AJ35" s="496">
        <f t="shared" si="76"/>
        <v>0.34268254025575901</v>
      </c>
      <c r="AK35" s="496">
        <f t="shared" si="76"/>
        <v>0.34771126760563381</v>
      </c>
      <c r="AL35" s="555"/>
      <c r="AM35" s="509">
        <f t="shared" si="76"/>
        <v>0.55349982747748283</v>
      </c>
      <c r="AN35" s="509">
        <f t="shared" si="76"/>
        <v>0.54710458081244595</v>
      </c>
      <c r="AO35" s="560"/>
      <c r="AP35" s="503">
        <f t="shared" si="68"/>
        <v>0.43728356971857862</v>
      </c>
      <c r="AQ35" s="503">
        <f t="shared" si="69"/>
        <v>0.43501914053208579</v>
      </c>
      <c r="AR35" s="503"/>
      <c r="AY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</row>
    <row r="36" spans="1:113" ht="15.75" outlineLevel="1" thickBot="1" x14ac:dyDescent="0.3">
      <c r="A36" s="444">
        <v>7</v>
      </c>
      <c r="B36" s="428">
        <f t="shared" si="70"/>
        <v>0.38784184778250058</v>
      </c>
      <c r="C36" s="493">
        <f t="shared" si="70"/>
        <v>0.35734870317002881</v>
      </c>
      <c r="E36" s="427"/>
      <c r="F36" s="427"/>
      <c r="G36" s="427"/>
      <c r="H36" s="427"/>
      <c r="I36" s="428">
        <f t="shared" ref="I36:AN36" si="77">I11/I$25</f>
        <v>0.40786521461502862</v>
      </c>
      <c r="J36" s="428">
        <f t="shared" si="77"/>
        <v>0.39021164021164023</v>
      </c>
      <c r="L36" s="428">
        <f t="shared" si="77"/>
        <v>0.45257651947547983</v>
      </c>
      <c r="M36" s="428">
        <f t="shared" si="77"/>
        <v>0.46808510638297873</v>
      </c>
      <c r="N36" s="428"/>
      <c r="O36" s="428">
        <f t="shared" si="77"/>
        <v>0.44696691891411361</v>
      </c>
      <c r="P36" s="428">
        <f t="shared" si="77"/>
        <v>0.47484909456740443</v>
      </c>
      <c r="Q36" s="428"/>
      <c r="R36" s="428">
        <f t="shared" si="77"/>
        <v>0.61610694462453519</v>
      </c>
      <c r="S36" s="428">
        <f t="shared" si="77"/>
        <v>0.62740384615384615</v>
      </c>
      <c r="T36" s="428"/>
      <c r="U36" s="428">
        <f t="shared" si="77"/>
        <v>0.42122420340736527</v>
      </c>
      <c r="V36" s="428">
        <f t="shared" si="77"/>
        <v>0.42762364294330518</v>
      </c>
      <c r="W36" s="428"/>
      <c r="X36" s="428">
        <f t="shared" si="77"/>
        <v>0.54752192887698226</v>
      </c>
      <c r="Y36" s="428">
        <f t="shared" si="77"/>
        <v>0.53641025641025641</v>
      </c>
      <c r="Z36" s="428"/>
      <c r="AA36" s="428">
        <f t="shared" si="77"/>
        <v>0.43452086210940555</v>
      </c>
      <c r="AB36" s="428">
        <f t="shared" si="77"/>
        <v>0.40620155038759692</v>
      </c>
      <c r="AC36" s="428"/>
      <c r="AD36" s="428">
        <f t="shared" si="77"/>
        <v>0.56986145144636058</v>
      </c>
      <c r="AE36" s="428">
        <f t="shared" si="77"/>
        <v>0.56726190476190474</v>
      </c>
      <c r="AF36" s="428"/>
      <c r="AG36" s="428">
        <f t="shared" si="77"/>
        <v>0.46145994261752371</v>
      </c>
      <c r="AH36" s="428">
        <f t="shared" si="77"/>
        <v>0.47211895910780671</v>
      </c>
      <c r="AI36" s="495"/>
      <c r="AJ36" s="495">
        <f t="shared" si="77"/>
        <v>0.37897993331166563</v>
      </c>
      <c r="AK36" s="495">
        <f t="shared" si="77"/>
        <v>0.38292253521126762</v>
      </c>
      <c r="AL36" s="495"/>
      <c r="AM36" s="505">
        <f t="shared" si="77"/>
        <v>0.57791473818220762</v>
      </c>
      <c r="AN36" s="505">
        <f t="shared" si="77"/>
        <v>0.57130509939498708</v>
      </c>
      <c r="AO36" s="503"/>
      <c r="AP36" s="503">
        <f t="shared" si="68"/>
        <v>0.46590234247099643</v>
      </c>
      <c r="AQ36" s="503">
        <f t="shared" si="69"/>
        <v>0.46458520357345789</v>
      </c>
      <c r="AR36" s="503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</row>
    <row r="37" spans="1:113" ht="15.75" outlineLevel="1" thickBot="1" x14ac:dyDescent="0.3">
      <c r="A37" s="445">
        <v>8</v>
      </c>
      <c r="B37" s="426">
        <f t="shared" si="70"/>
        <v>0.42792525463148606</v>
      </c>
      <c r="C37" s="492">
        <f t="shared" si="70"/>
        <v>0.39193083573487031</v>
      </c>
      <c r="D37" s="546"/>
      <c r="E37" s="427"/>
      <c r="F37" s="427"/>
      <c r="G37" s="427"/>
      <c r="H37" s="427"/>
      <c r="I37" s="426">
        <f t="shared" ref="I37:AN37" si="78">I12/I$25</f>
        <v>0.42637711554120949</v>
      </c>
      <c r="J37" s="426">
        <f t="shared" si="78"/>
        <v>0.40740740740740738</v>
      </c>
      <c r="K37" s="546"/>
      <c r="L37" s="426">
        <f t="shared" si="78"/>
        <v>0.47532620822351934</v>
      </c>
      <c r="M37" s="426">
        <f t="shared" si="78"/>
        <v>0.4939209726443769</v>
      </c>
      <c r="N37" s="426"/>
      <c r="O37" s="426">
        <f t="shared" si="78"/>
        <v>0.48633752264115299</v>
      </c>
      <c r="P37" s="426">
        <f t="shared" si="78"/>
        <v>0.50905432595573441</v>
      </c>
      <c r="Q37" s="426"/>
      <c r="R37" s="426">
        <f t="shared" si="78"/>
        <v>0.64478808082751582</v>
      </c>
      <c r="S37" s="491">
        <f t="shared" si="78"/>
        <v>0.65144230769230771</v>
      </c>
      <c r="T37" s="491"/>
      <c r="U37" s="426">
        <f t="shared" si="78"/>
        <v>0.46825793135590399</v>
      </c>
      <c r="V37" s="426">
        <f t="shared" si="78"/>
        <v>0.47768395657418578</v>
      </c>
      <c r="W37" s="426"/>
      <c r="X37" s="426">
        <f t="shared" si="78"/>
        <v>0.56194097567298962</v>
      </c>
      <c r="Y37" s="426">
        <f t="shared" si="78"/>
        <v>0.55282051282051281</v>
      </c>
      <c r="Z37" s="426"/>
      <c r="AA37" s="426">
        <f t="shared" si="78"/>
        <v>0.47329146143354789</v>
      </c>
      <c r="AB37" s="426">
        <f t="shared" si="78"/>
        <v>0.4449612403100775</v>
      </c>
      <c r="AC37" s="426"/>
      <c r="AD37" s="426">
        <f t="shared" si="78"/>
        <v>0.59576494521244627</v>
      </c>
      <c r="AE37" s="426">
        <f t="shared" si="78"/>
        <v>0.59166666666666667</v>
      </c>
      <c r="AF37" s="426"/>
      <c r="AG37" s="426">
        <f t="shared" si="78"/>
        <v>0.48753034650187599</v>
      </c>
      <c r="AH37" s="426">
        <f t="shared" si="78"/>
        <v>0.49814126394052044</v>
      </c>
      <c r="AI37" s="426"/>
      <c r="AJ37" s="426">
        <f t="shared" si="78"/>
        <v>0.4135840365301201</v>
      </c>
      <c r="AK37" s="426">
        <f t="shared" si="78"/>
        <v>0.41901408450704225</v>
      </c>
      <c r="AL37" s="426"/>
      <c r="AM37" s="509">
        <f t="shared" si="78"/>
        <v>0.59889109664830398</v>
      </c>
      <c r="AN37" s="509">
        <f t="shared" si="78"/>
        <v>0.59377700950734658</v>
      </c>
      <c r="AO37" s="560"/>
      <c r="AP37" s="503">
        <f t="shared" si="68"/>
        <v>0.4964658071428879</v>
      </c>
      <c r="AQ37" s="503">
        <f t="shared" si="69"/>
        <v>0.49436759765942745</v>
      </c>
      <c r="AR37" s="503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</row>
    <row r="38" spans="1:113" ht="15.75" outlineLevel="1" thickBot="1" x14ac:dyDescent="0.3">
      <c r="A38" s="444">
        <v>9</v>
      </c>
      <c r="B38" s="428">
        <f t="shared" si="70"/>
        <v>0.44699655144759004</v>
      </c>
      <c r="C38" s="428">
        <f t="shared" si="70"/>
        <v>0.40922190201729108</v>
      </c>
      <c r="D38" s="543"/>
      <c r="E38" s="427"/>
      <c r="F38" s="427"/>
      <c r="G38" s="427"/>
      <c r="H38" s="427"/>
      <c r="I38" s="428">
        <f t="shared" ref="I38:AN38" si="79">I13/I$25</f>
        <v>0.4487202769755303</v>
      </c>
      <c r="J38" s="428">
        <f t="shared" si="79"/>
        <v>0.43518518518518517</v>
      </c>
      <c r="K38" s="543"/>
      <c r="L38" s="428">
        <f t="shared" si="79"/>
        <v>0.51174672983329828</v>
      </c>
      <c r="M38" s="428">
        <f t="shared" si="79"/>
        <v>0.53191489361702127</v>
      </c>
      <c r="N38" s="428"/>
      <c r="O38" s="428">
        <f t="shared" si="79"/>
        <v>0.51083997288617755</v>
      </c>
      <c r="P38" s="428">
        <f t="shared" si="79"/>
        <v>0.53722334004024141</v>
      </c>
      <c r="Q38" s="494"/>
      <c r="R38" s="494">
        <f t="shared" si="79"/>
        <v>0.66356027555975694</v>
      </c>
      <c r="S38" s="493">
        <f t="shared" si="79"/>
        <v>0.66826923076923073</v>
      </c>
      <c r="T38" s="540"/>
      <c r="U38" s="428">
        <f t="shared" si="79"/>
        <v>0.49935084390292622</v>
      </c>
      <c r="V38" s="428">
        <f t="shared" si="79"/>
        <v>0.51326899879372734</v>
      </c>
      <c r="W38" s="428"/>
      <c r="X38" s="428">
        <f t="shared" si="79"/>
        <v>0.57561681718014091</v>
      </c>
      <c r="Y38" s="428">
        <f t="shared" si="79"/>
        <v>0.56512820512820516</v>
      </c>
      <c r="Z38" s="428"/>
      <c r="AA38" s="428">
        <f t="shared" si="79"/>
        <v>0.52525779017139684</v>
      </c>
      <c r="AB38" s="428">
        <f t="shared" si="79"/>
        <v>0.50232558139534889</v>
      </c>
      <c r="AC38" s="428"/>
      <c r="AD38" s="428">
        <f t="shared" si="79"/>
        <v>0.62266709818607735</v>
      </c>
      <c r="AE38" s="428">
        <f t="shared" si="79"/>
        <v>0.61904761904761907</v>
      </c>
      <c r="AF38" s="428"/>
      <c r="AG38" s="428">
        <f t="shared" si="79"/>
        <v>0.49608254248510264</v>
      </c>
      <c r="AH38" s="428">
        <f t="shared" si="79"/>
        <v>0.51301115241635686</v>
      </c>
      <c r="AI38" s="428"/>
      <c r="AJ38" s="428">
        <f t="shared" si="79"/>
        <v>0.45401434080066128</v>
      </c>
      <c r="AK38" s="428">
        <f t="shared" si="79"/>
        <v>0.46126760563380281</v>
      </c>
      <c r="AL38" s="428"/>
      <c r="AM38" s="505">
        <f t="shared" si="79"/>
        <v>0.61435863266981572</v>
      </c>
      <c r="AN38" s="505">
        <f t="shared" si="79"/>
        <v>0.60933448573898008</v>
      </c>
      <c r="AO38" s="503"/>
      <c r="AP38" s="503">
        <f t="shared" si="68"/>
        <v>0.52316847631169616</v>
      </c>
      <c r="AQ38" s="503">
        <f t="shared" si="69"/>
        <v>0.52326033764036628</v>
      </c>
      <c r="AR38" s="503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</row>
    <row r="39" spans="1:113" ht="15.75" outlineLevel="1" thickBot="1" x14ac:dyDescent="0.3">
      <c r="A39" s="445">
        <v>10</v>
      </c>
      <c r="B39" s="426">
        <f t="shared" si="70"/>
        <v>0.50664848825086217</v>
      </c>
      <c r="C39" s="426">
        <f t="shared" si="70"/>
        <v>0.46397694524495675</v>
      </c>
      <c r="D39" s="544"/>
      <c r="E39" s="427"/>
      <c r="F39" s="427"/>
      <c r="G39" s="427"/>
      <c r="H39" s="427"/>
      <c r="I39" s="426">
        <f t="shared" ref="I39:AN39" si="80">I14/I$25</f>
        <v>0.47642954639984536</v>
      </c>
      <c r="J39" s="426">
        <f t="shared" si="80"/>
        <v>0.46296296296296297</v>
      </c>
      <c r="K39" s="544"/>
      <c r="L39" s="426">
        <f t="shared" si="80"/>
        <v>0.53882969262858349</v>
      </c>
      <c r="M39" s="426">
        <f t="shared" si="80"/>
        <v>0.56079027355623101</v>
      </c>
      <c r="N39" s="426"/>
      <c r="O39" s="426">
        <f t="shared" si="80"/>
        <v>0.54286539765087616</v>
      </c>
      <c r="P39" s="426">
        <f t="shared" si="80"/>
        <v>0.56740442655935619</v>
      </c>
      <c r="Q39" s="555"/>
      <c r="R39" s="496">
        <f t="shared" si="80"/>
        <v>0.68260016647356292</v>
      </c>
      <c r="S39" s="492">
        <f t="shared" si="80"/>
        <v>0.68509615384615385</v>
      </c>
      <c r="T39" s="492"/>
      <c r="U39" s="426">
        <f t="shared" si="80"/>
        <v>0.52208283078152251</v>
      </c>
      <c r="V39" s="426">
        <f t="shared" si="80"/>
        <v>0.5386007237635706</v>
      </c>
      <c r="W39" s="426"/>
      <c r="X39" s="426">
        <f t="shared" si="80"/>
        <v>0.59074018061616906</v>
      </c>
      <c r="Y39" s="426">
        <f t="shared" si="80"/>
        <v>0.57948717948717954</v>
      </c>
      <c r="Z39" s="426"/>
      <c r="AA39" s="426">
        <f t="shared" si="80"/>
        <v>0.54388296717138807</v>
      </c>
      <c r="AB39" s="426">
        <f t="shared" si="80"/>
        <v>0.52093023255813953</v>
      </c>
      <c r="AC39" s="426"/>
      <c r="AD39" s="426">
        <f t="shared" si="80"/>
        <v>0.64424615100097093</v>
      </c>
      <c r="AE39" s="426">
        <f t="shared" si="80"/>
        <v>0.63869047619047614</v>
      </c>
      <c r="AF39" s="426"/>
      <c r="AG39" s="426">
        <f t="shared" si="80"/>
        <v>0.51120061796512906</v>
      </c>
      <c r="AH39" s="426">
        <f t="shared" si="80"/>
        <v>0.53159851301115246</v>
      </c>
      <c r="AI39" s="426"/>
      <c r="AJ39" s="426">
        <f t="shared" si="80"/>
        <v>0.48418058013233339</v>
      </c>
      <c r="AK39" s="426">
        <f t="shared" si="80"/>
        <v>0.49647887323943662</v>
      </c>
      <c r="AL39" s="426"/>
      <c r="AM39" s="509">
        <f t="shared" si="80"/>
        <v>0.63841660023558244</v>
      </c>
      <c r="AN39" s="509">
        <f t="shared" si="80"/>
        <v>0.62834917891097664</v>
      </c>
      <c r="AO39" s="560"/>
      <c r="AP39" s="503">
        <f t="shared" si="68"/>
        <v>0.54942787446102215</v>
      </c>
      <c r="AQ39" s="503">
        <f t="shared" si="69"/>
        <v>0.54963788731087415</v>
      </c>
      <c r="AR39" s="503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</row>
    <row r="40" spans="1:113" ht="15.75" outlineLevel="1" thickBot="1" x14ac:dyDescent="0.3">
      <c r="A40" s="444">
        <v>11</v>
      </c>
      <c r="B40" s="428">
        <f t="shared" si="70"/>
        <v>0.55662843852754829</v>
      </c>
      <c r="C40" s="428">
        <f t="shared" si="70"/>
        <v>0.51296829971181557</v>
      </c>
      <c r="D40" s="543"/>
      <c r="E40" s="427"/>
      <c r="F40" s="427"/>
      <c r="G40" s="428"/>
      <c r="H40" s="428"/>
      <c r="I40" s="428">
        <f t="shared" ref="I40:AN40" si="81">I15/I$25</f>
        <v>0.48659351731975792</v>
      </c>
      <c r="J40" s="428">
        <f t="shared" si="81"/>
        <v>0.47089947089947087</v>
      </c>
      <c r="K40" s="543"/>
      <c r="L40" s="428">
        <f t="shared" si="81"/>
        <v>0.56322861254385825</v>
      </c>
      <c r="M40" s="428">
        <f t="shared" si="81"/>
        <v>0.58662613981762923</v>
      </c>
      <c r="N40" s="428"/>
      <c r="O40" s="428">
        <f t="shared" si="81"/>
        <v>0.55876698780989209</v>
      </c>
      <c r="P40" s="428">
        <f t="shared" si="81"/>
        <v>0.5855130784708249</v>
      </c>
      <c r="Q40" s="495"/>
      <c r="R40" s="495">
        <f t="shared" si="81"/>
        <v>0.69603098583301615</v>
      </c>
      <c r="S40" s="428">
        <f t="shared" si="81"/>
        <v>0.69891826923076927</v>
      </c>
      <c r="T40" s="428"/>
      <c r="U40" s="428">
        <f t="shared" si="81"/>
        <v>0.54491724860245783</v>
      </c>
      <c r="V40" s="428">
        <f t="shared" si="81"/>
        <v>0.56393244873341375</v>
      </c>
      <c r="W40" s="428"/>
      <c r="X40" s="428">
        <f t="shared" si="81"/>
        <v>0.60350862031715857</v>
      </c>
      <c r="Y40" s="428">
        <f t="shared" si="81"/>
        <v>0.59692307692307689</v>
      </c>
      <c r="Z40" s="428"/>
      <c r="AA40" s="428">
        <f t="shared" si="81"/>
        <v>0.55343010780711133</v>
      </c>
      <c r="AB40" s="428">
        <f t="shared" si="81"/>
        <v>0.53488372093023251</v>
      </c>
      <c r="AC40" s="494"/>
      <c r="AD40" s="494">
        <f t="shared" si="81"/>
        <v>0.66241620047158911</v>
      </c>
      <c r="AE40" s="494">
        <f t="shared" si="81"/>
        <v>0.65714285714285714</v>
      </c>
      <c r="AF40" s="494"/>
      <c r="AG40" s="428">
        <f t="shared" si="81"/>
        <v>0.53911939969101741</v>
      </c>
      <c r="AH40" s="428">
        <f t="shared" si="81"/>
        <v>0.55762081784386619</v>
      </c>
      <c r="AI40" s="428"/>
      <c r="AJ40" s="428">
        <f t="shared" si="81"/>
        <v>0.51100839021101918</v>
      </c>
      <c r="AK40" s="428">
        <f t="shared" si="81"/>
        <v>0.52464788732394363</v>
      </c>
      <c r="AL40" s="428"/>
      <c r="AM40" s="505">
        <f t="shared" si="81"/>
        <v>0.66036860328149727</v>
      </c>
      <c r="AN40" s="505">
        <f t="shared" si="81"/>
        <v>0.65082108902333624</v>
      </c>
      <c r="AO40" s="503"/>
      <c r="AP40" s="503">
        <f t="shared" si="68"/>
        <v>0.57051350083040231</v>
      </c>
      <c r="AQ40" s="503">
        <f t="shared" si="69"/>
        <v>0.57182509700253636</v>
      </c>
      <c r="AR40" s="503"/>
      <c r="AY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</row>
    <row r="41" spans="1:113" ht="15.75" outlineLevel="1" thickBot="1" x14ac:dyDescent="0.3">
      <c r="A41" s="445">
        <v>12</v>
      </c>
      <c r="B41" s="426">
        <f t="shared" si="70"/>
        <v>0.59324725318790605</v>
      </c>
      <c r="C41" s="426">
        <f t="shared" si="70"/>
        <v>0.55619596541786742</v>
      </c>
      <c r="D41" s="544"/>
      <c r="E41" s="427"/>
      <c r="F41" s="427"/>
      <c r="G41" s="427"/>
      <c r="H41" s="427"/>
      <c r="I41" s="426">
        <f t="shared" ref="I41:AN41" si="82">I16/I$25</f>
        <v>0.50470706088423622</v>
      </c>
      <c r="J41" s="426">
        <f t="shared" si="82"/>
        <v>0.49074074074074076</v>
      </c>
      <c r="K41" s="544"/>
      <c r="L41" s="426">
        <f t="shared" si="82"/>
        <v>0.57630927935065568</v>
      </c>
      <c r="M41" s="426">
        <f t="shared" si="82"/>
        <v>0.60030395136778114</v>
      </c>
      <c r="N41" s="426"/>
      <c r="O41" s="426">
        <f t="shared" si="82"/>
        <v>0.60248247046926917</v>
      </c>
      <c r="P41" s="426">
        <f t="shared" si="82"/>
        <v>0.62575452716297786</v>
      </c>
      <c r="Q41" s="426"/>
      <c r="R41" s="426">
        <f t="shared" si="82"/>
        <v>0.71014777665772955</v>
      </c>
      <c r="S41" s="426">
        <f t="shared" si="82"/>
        <v>0.71454326923076927</v>
      </c>
      <c r="T41" s="426"/>
      <c r="U41" s="426">
        <f t="shared" si="82"/>
        <v>0.56814346477784006</v>
      </c>
      <c r="V41" s="426">
        <f t="shared" si="82"/>
        <v>0.58866103739445119</v>
      </c>
      <c r="W41" s="426"/>
      <c r="X41" s="426">
        <f t="shared" si="82"/>
        <v>0.61814371516225208</v>
      </c>
      <c r="Y41" s="426">
        <f t="shared" si="82"/>
        <v>0.61333333333333329</v>
      </c>
      <c r="Z41" s="426"/>
      <c r="AA41" s="426">
        <f t="shared" si="82"/>
        <v>0.57416625402865007</v>
      </c>
      <c r="AB41" s="426">
        <f t="shared" si="82"/>
        <v>0.55968992248062011</v>
      </c>
      <c r="AC41" s="555"/>
      <c r="AD41" s="496">
        <f t="shared" si="82"/>
        <v>0.68025336353969212</v>
      </c>
      <c r="AE41" s="496">
        <f t="shared" si="82"/>
        <v>0.67678571428571432</v>
      </c>
      <c r="AF41" s="555"/>
      <c r="AG41" s="426">
        <f t="shared" si="82"/>
        <v>0.56814169057603181</v>
      </c>
      <c r="AH41" s="426">
        <f t="shared" si="82"/>
        <v>0.57249070631970256</v>
      </c>
      <c r="AI41" s="426"/>
      <c r="AJ41" s="426">
        <f t="shared" si="82"/>
        <v>0.53795256380934042</v>
      </c>
      <c r="AK41" s="426">
        <f t="shared" si="82"/>
        <v>0.54929577464788737</v>
      </c>
      <c r="AL41" s="426"/>
      <c r="AM41" s="509">
        <f t="shared" si="82"/>
        <v>0.67834663938034667</v>
      </c>
      <c r="AN41" s="509">
        <f t="shared" si="82"/>
        <v>0.6698357821953328</v>
      </c>
      <c r="AO41" s="560"/>
      <c r="AP41" s="503">
        <f t="shared" si="68"/>
        <v>0.59397226294941852</v>
      </c>
      <c r="AQ41" s="503">
        <f t="shared" si="69"/>
        <v>0.59525408567107685</v>
      </c>
      <c r="AR41" s="503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</row>
    <row r="42" spans="1:113" ht="15.75" outlineLevel="1" thickBot="1" x14ac:dyDescent="0.3">
      <c r="A42" s="444">
        <v>13</v>
      </c>
      <c r="B42" s="428">
        <f t="shared" si="70"/>
        <v>0.60476381425936321</v>
      </c>
      <c r="C42" s="428">
        <f t="shared" si="70"/>
        <v>0.56772334293948123</v>
      </c>
      <c r="D42" s="543"/>
      <c r="E42" s="427"/>
      <c r="F42" s="427"/>
      <c r="G42" s="427"/>
      <c r="H42" s="427"/>
      <c r="I42" s="428">
        <f t="shared" ref="I42:AN42" si="83">I17/I$25</f>
        <v>0.5217426962935191</v>
      </c>
      <c r="J42" s="428">
        <f t="shared" si="83"/>
        <v>0.51058201058201058</v>
      </c>
      <c r="K42" s="543"/>
      <c r="L42" s="428">
        <f t="shared" si="83"/>
        <v>0.598889194302068</v>
      </c>
      <c r="M42" s="428">
        <f t="shared" si="83"/>
        <v>0.62310030395136773</v>
      </c>
      <c r="N42" s="428"/>
      <c r="O42" s="428">
        <f t="shared" si="83"/>
        <v>0.61767287839895102</v>
      </c>
      <c r="P42" s="428">
        <f t="shared" si="83"/>
        <v>0.64185110663983902</v>
      </c>
      <c r="Q42" s="428"/>
      <c r="R42" s="428">
        <f t="shared" si="83"/>
        <v>0.72125716819267438</v>
      </c>
      <c r="S42" s="428">
        <f t="shared" si="83"/>
        <v>0.72415865384615385</v>
      </c>
      <c r="T42" s="428"/>
      <c r="U42" s="428">
        <f t="shared" si="83"/>
        <v>0.58821224715562082</v>
      </c>
      <c r="V42" s="428">
        <f t="shared" si="83"/>
        <v>0.60977080820265384</v>
      </c>
      <c r="W42" s="494"/>
      <c r="X42" s="494">
        <f t="shared" si="83"/>
        <v>0.64703798124702938</v>
      </c>
      <c r="Y42" s="494">
        <f t="shared" si="83"/>
        <v>0.64</v>
      </c>
      <c r="Z42" s="494"/>
      <c r="AA42" s="428">
        <f t="shared" si="83"/>
        <v>0.59322578683554417</v>
      </c>
      <c r="AB42" s="428">
        <f t="shared" si="83"/>
        <v>0.58139534883720934</v>
      </c>
      <c r="AC42" s="495"/>
      <c r="AD42" s="495">
        <f t="shared" si="83"/>
        <v>0.69268728712993355</v>
      </c>
      <c r="AE42" s="495">
        <f t="shared" si="83"/>
        <v>0.68988095238095237</v>
      </c>
      <c r="AF42" s="495"/>
      <c r="AG42" s="428">
        <f t="shared" si="83"/>
        <v>0.5740730523063341</v>
      </c>
      <c r="AH42" s="428">
        <f t="shared" si="83"/>
        <v>0.57620817843866168</v>
      </c>
      <c r="AI42" s="428"/>
      <c r="AJ42" s="428">
        <f t="shared" si="83"/>
        <v>0.56147404491631858</v>
      </c>
      <c r="AK42" s="428">
        <f t="shared" si="83"/>
        <v>0.57746478873239437</v>
      </c>
      <c r="AL42" s="428"/>
      <c r="AM42" s="505">
        <f t="shared" si="83"/>
        <v>0.68834104727116974</v>
      </c>
      <c r="AN42" s="505">
        <f t="shared" si="83"/>
        <v>0.68193604148660325</v>
      </c>
      <c r="AO42" s="503"/>
      <c r="AP42" s="503">
        <f t="shared" si="68"/>
        <v>0.61100328645794133</v>
      </c>
      <c r="AQ42" s="503">
        <f t="shared" si="69"/>
        <v>0.61292140859552025</v>
      </c>
      <c r="AR42" s="503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</row>
    <row r="43" spans="1:113" ht="15.75" outlineLevel="1" thickBot="1" x14ac:dyDescent="0.3">
      <c r="A43" s="445">
        <v>14</v>
      </c>
      <c r="B43" s="426">
        <f t="shared" si="70"/>
        <v>0.61818910899029589</v>
      </c>
      <c r="C43" s="426">
        <f t="shared" si="70"/>
        <v>0.59077809798270897</v>
      </c>
      <c r="D43" s="544"/>
      <c r="E43" s="427"/>
      <c r="F43" s="427"/>
      <c r="G43" s="427"/>
      <c r="H43" s="427"/>
      <c r="I43" s="426">
        <f t="shared" ref="I43:AN43" si="84">I18/I$25</f>
        <v>0.54545081751132096</v>
      </c>
      <c r="J43" s="426">
        <f t="shared" si="84"/>
        <v>0.53306878306878303</v>
      </c>
      <c r="K43" s="544"/>
      <c r="L43" s="426">
        <f t="shared" si="84"/>
        <v>0.60965770368813366</v>
      </c>
      <c r="M43" s="426">
        <f t="shared" si="84"/>
        <v>0.63373860182370823</v>
      </c>
      <c r="N43" s="426"/>
      <c r="O43" s="426">
        <f t="shared" si="84"/>
        <v>0.64070851529597406</v>
      </c>
      <c r="P43" s="491">
        <f t="shared" si="84"/>
        <v>0.66398390342052316</v>
      </c>
      <c r="Q43" s="491"/>
      <c r="R43" s="426">
        <f t="shared" si="84"/>
        <v>0.73879545083801457</v>
      </c>
      <c r="S43" s="426">
        <f t="shared" si="84"/>
        <v>0.74038461538461542</v>
      </c>
      <c r="T43" s="426"/>
      <c r="U43" s="426">
        <f t="shared" si="84"/>
        <v>0.61661122591912565</v>
      </c>
      <c r="V43" s="426">
        <f t="shared" si="84"/>
        <v>0.63932448733413749</v>
      </c>
      <c r="W43" s="555"/>
      <c r="X43" s="496">
        <f t="shared" si="84"/>
        <v>0.67398349392904977</v>
      </c>
      <c r="Y43" s="496">
        <f t="shared" si="84"/>
        <v>0.66666666666666663</v>
      </c>
      <c r="Z43" s="555"/>
      <c r="AA43" s="426">
        <f t="shared" si="84"/>
        <v>0.62241449705941121</v>
      </c>
      <c r="AB43" s="426">
        <f t="shared" si="84"/>
        <v>0.61240310077519378</v>
      </c>
      <c r="AC43" s="426"/>
      <c r="AD43" s="426">
        <f t="shared" si="84"/>
        <v>0.71706505155115818</v>
      </c>
      <c r="AE43" s="426">
        <f t="shared" si="84"/>
        <v>0.71845238095238095</v>
      </c>
      <c r="AF43" s="426"/>
      <c r="AG43" s="426">
        <f t="shared" si="84"/>
        <v>0.59109468108585306</v>
      </c>
      <c r="AH43" s="426">
        <f t="shared" si="84"/>
        <v>0.59107806691449816</v>
      </c>
      <c r="AI43" s="426"/>
      <c r="AJ43" s="426">
        <f t="shared" si="84"/>
        <v>0.59724980840144615</v>
      </c>
      <c r="AK43" s="426">
        <f t="shared" si="84"/>
        <v>0.61267605633802813</v>
      </c>
      <c r="AL43" s="491"/>
      <c r="AM43" s="510">
        <f t="shared" si="84"/>
        <v>0.70274965198043948</v>
      </c>
      <c r="AN43" s="510">
        <f t="shared" si="84"/>
        <v>0.6966292134831461</v>
      </c>
      <c r="AO43" s="560"/>
      <c r="AP43" s="503">
        <f t="shared" si="68"/>
        <v>0.63374730493361664</v>
      </c>
      <c r="AQ43" s="503">
        <f t="shared" si="69"/>
        <v>0.63659588733284045</v>
      </c>
      <c r="AR43" s="503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</row>
    <row r="44" spans="1:113" ht="15.75" outlineLevel="1" thickBot="1" x14ac:dyDescent="0.3">
      <c r="A44" s="444">
        <v>15</v>
      </c>
      <c r="B44" s="494">
        <f t="shared" si="70"/>
        <v>0.64802309728125751</v>
      </c>
      <c r="C44" s="428">
        <f t="shared" si="70"/>
        <v>0.61671469740634011</v>
      </c>
      <c r="D44" s="543"/>
      <c r="E44" s="427"/>
      <c r="F44" s="427"/>
      <c r="G44" s="427"/>
      <c r="H44" s="427"/>
      <c r="I44" s="428">
        <f t="shared" ref="I44:AN44" si="85">I19/I$25</f>
        <v>0.57097497964276722</v>
      </c>
      <c r="J44" s="428">
        <f t="shared" si="85"/>
        <v>0.55820105820105825</v>
      </c>
      <c r="K44" s="543"/>
      <c r="L44" s="428">
        <f t="shared" si="85"/>
        <v>0.62263327243035227</v>
      </c>
      <c r="M44" s="494">
        <f t="shared" si="85"/>
        <v>0.64893617021276595</v>
      </c>
      <c r="N44" s="494"/>
      <c r="O44" s="494">
        <f t="shared" si="85"/>
        <v>0.65733239990665737</v>
      </c>
      <c r="P44" s="493">
        <f t="shared" si="85"/>
        <v>0.67806841046277666</v>
      </c>
      <c r="Q44" s="540"/>
      <c r="R44" s="428">
        <f t="shared" si="85"/>
        <v>0.78749942487148494</v>
      </c>
      <c r="S44" s="428">
        <f t="shared" si="85"/>
        <v>0.7890625</v>
      </c>
      <c r="T44" s="428"/>
      <c r="U44" s="428">
        <f t="shared" si="85"/>
        <v>0.63763261606065957</v>
      </c>
      <c r="V44" s="494">
        <f t="shared" si="85"/>
        <v>0.66103739445114595</v>
      </c>
      <c r="W44" s="540"/>
      <c r="X44" s="495">
        <f t="shared" si="85"/>
        <v>0.71361534805340709</v>
      </c>
      <c r="Y44" s="495">
        <f t="shared" si="85"/>
        <v>0.70769230769230773</v>
      </c>
      <c r="Z44" s="540"/>
      <c r="AA44" s="494">
        <f t="shared" si="85"/>
        <v>0.65319294953654239</v>
      </c>
      <c r="AB44" s="494">
        <f t="shared" si="85"/>
        <v>0.64341085271317833</v>
      </c>
      <c r="AC44" s="494"/>
      <c r="AD44" s="428">
        <f t="shared" si="85"/>
        <v>0.74812828455622848</v>
      </c>
      <c r="AE44" s="428">
        <f t="shared" si="85"/>
        <v>0.74821428571428572</v>
      </c>
      <c r="AF44" s="428"/>
      <c r="AG44" s="428">
        <f t="shared" si="85"/>
        <v>0.62135841977488415</v>
      </c>
      <c r="AH44" s="428">
        <f t="shared" si="85"/>
        <v>0.60966542750929364</v>
      </c>
      <c r="AI44" s="494"/>
      <c r="AJ44" s="494">
        <f t="shared" si="85"/>
        <v>0.64126330656972386</v>
      </c>
      <c r="AK44" s="494">
        <f t="shared" si="85"/>
        <v>0.63996478873239437</v>
      </c>
      <c r="AL44" s="540"/>
      <c r="AM44" s="504">
        <f t="shared" si="85"/>
        <v>0.71819339179268737</v>
      </c>
      <c r="AN44" s="504">
        <f t="shared" si="85"/>
        <v>0.71305099394987037</v>
      </c>
      <c r="AO44" s="503"/>
      <c r="AP44" s="503">
        <f t="shared" si="68"/>
        <v>0.66378673624399687</v>
      </c>
      <c r="AQ44" s="503">
        <f t="shared" si="69"/>
        <v>0.66372435391777695</v>
      </c>
      <c r="AR44" s="503"/>
    </row>
    <row r="45" spans="1:113" ht="15.75" outlineLevel="1" thickBot="1" x14ac:dyDescent="0.3">
      <c r="A45" s="445">
        <v>16</v>
      </c>
      <c r="B45" s="496">
        <f t="shared" si="70"/>
        <v>0.67811372203063602</v>
      </c>
      <c r="C45" s="491">
        <f t="shared" si="70"/>
        <v>0.64553314121037464</v>
      </c>
      <c r="D45" s="545"/>
      <c r="E45" s="427"/>
      <c r="F45" s="427"/>
      <c r="G45" s="427"/>
      <c r="H45" s="427"/>
      <c r="I45" s="426">
        <f t="shared" ref="I45:AN45" si="86">I20/I$25</f>
        <v>0.60604214386558952</v>
      </c>
      <c r="J45" s="426">
        <f t="shared" si="86"/>
        <v>0.58862433862433861</v>
      </c>
      <c r="K45" s="545"/>
      <c r="L45" s="491">
        <f t="shared" si="86"/>
        <v>0.647153459343218</v>
      </c>
      <c r="M45" s="496">
        <f t="shared" si="86"/>
        <v>0.67477203647416417</v>
      </c>
      <c r="N45" s="496"/>
      <c r="O45" s="496">
        <f t="shared" si="86"/>
        <v>0.68720205353868724</v>
      </c>
      <c r="P45" s="492">
        <f t="shared" si="86"/>
        <v>0.70221327967806846</v>
      </c>
      <c r="Q45" s="492"/>
      <c r="R45" s="426">
        <f t="shared" si="86"/>
        <v>0.8083755442807129</v>
      </c>
      <c r="S45" s="426">
        <f t="shared" si="86"/>
        <v>0.81129807692307687</v>
      </c>
      <c r="T45" s="491"/>
      <c r="U45" s="491">
        <f t="shared" si="86"/>
        <v>0.65982427971841739</v>
      </c>
      <c r="V45" s="496">
        <f t="shared" si="86"/>
        <v>0.68395657418576594</v>
      </c>
      <c r="W45" s="555"/>
      <c r="X45" s="426">
        <f t="shared" si="86"/>
        <v>0.75219720865920581</v>
      </c>
      <c r="Y45" s="426">
        <f t="shared" si="86"/>
        <v>0.74769230769230766</v>
      </c>
      <c r="Z45" s="555"/>
      <c r="AA45" s="496">
        <f t="shared" si="86"/>
        <v>0.68339805234856188</v>
      </c>
      <c r="AB45" s="496">
        <f t="shared" si="86"/>
        <v>0.67906976744186043</v>
      </c>
      <c r="AC45" s="555"/>
      <c r="AD45" s="426">
        <f t="shared" si="86"/>
        <v>0.77421055064959088</v>
      </c>
      <c r="AE45" s="426">
        <f t="shared" si="86"/>
        <v>0.77440476190476193</v>
      </c>
      <c r="AF45" s="426"/>
      <c r="AG45" s="426">
        <f t="shared" si="86"/>
        <v>0.64839439417347167</v>
      </c>
      <c r="AH45" s="426">
        <f t="shared" si="86"/>
        <v>0.63940520446096649</v>
      </c>
      <c r="AI45" s="555"/>
      <c r="AJ45" s="496">
        <f t="shared" si="86"/>
        <v>0.67045048732239521</v>
      </c>
      <c r="AK45" s="496">
        <f t="shared" si="86"/>
        <v>0.66725352112676062</v>
      </c>
      <c r="AL45" s="555"/>
      <c r="AM45" s="511">
        <f t="shared" si="86"/>
        <v>0.73006770021535572</v>
      </c>
      <c r="AN45" s="511">
        <f t="shared" si="86"/>
        <v>0.72255834053586865</v>
      </c>
      <c r="AO45" s="560"/>
      <c r="AP45" s="504">
        <f t="shared" si="68"/>
        <v>0.69230562690277153</v>
      </c>
      <c r="AQ45" s="504">
        <f t="shared" si="69"/>
        <v>0.69220209179294967</v>
      </c>
      <c r="AR45" s="503"/>
      <c r="AS45" t="s">
        <v>211</v>
      </c>
      <c r="AY45" s="216"/>
      <c r="BM45" s="216"/>
    </row>
    <row r="46" spans="1:113" ht="15.75" outlineLevel="1" thickBot="1" x14ac:dyDescent="0.3">
      <c r="A46" s="444">
        <v>17</v>
      </c>
      <c r="B46" s="497">
        <f t="shared" si="70"/>
        <v>0.70637581201379418</v>
      </c>
      <c r="C46" s="499">
        <f t="shared" si="70"/>
        <v>0.67146974063400577</v>
      </c>
      <c r="D46" s="547"/>
      <c r="E46" s="427"/>
      <c r="F46" s="427"/>
      <c r="G46" s="427"/>
      <c r="H46" s="427"/>
      <c r="I46" s="500">
        <f t="shared" ref="I46:AN46" si="87">I21/I$25</f>
        <v>0.64174785150643521</v>
      </c>
      <c r="J46" s="429">
        <f t="shared" si="87"/>
        <v>0.62301587301587302</v>
      </c>
      <c r="K46" s="547"/>
      <c r="L46" s="493">
        <f t="shared" si="87"/>
        <v>0.70199848012029686</v>
      </c>
      <c r="M46" s="495">
        <f t="shared" si="87"/>
        <v>0.74012158054711241</v>
      </c>
      <c r="N46" s="495"/>
      <c r="O46" s="495">
        <f t="shared" si="87"/>
        <v>0.71404918269604734</v>
      </c>
      <c r="P46" s="428">
        <f t="shared" si="87"/>
        <v>0.73038229376257546</v>
      </c>
      <c r="Q46" s="428"/>
      <c r="R46" s="428">
        <f t="shared" si="87"/>
        <v>0.82927676020696262</v>
      </c>
      <c r="S46" s="428">
        <f t="shared" si="87"/>
        <v>0.83173076923076927</v>
      </c>
      <c r="T46" s="540"/>
      <c r="U46" s="493">
        <f t="shared" si="87"/>
        <v>0.688576645232992</v>
      </c>
      <c r="V46" s="495">
        <f t="shared" si="87"/>
        <v>0.69963811821471655</v>
      </c>
      <c r="W46" s="495"/>
      <c r="X46" s="428">
        <f t="shared" si="87"/>
        <v>0.78232726958475562</v>
      </c>
      <c r="Y46" s="428">
        <f t="shared" si="87"/>
        <v>0.77641025641025641</v>
      </c>
      <c r="Z46" s="495"/>
      <c r="AA46" s="495">
        <f t="shared" si="87"/>
        <v>0.72919652862839124</v>
      </c>
      <c r="AB46" s="495">
        <f t="shared" si="87"/>
        <v>0.73023255813953492</v>
      </c>
      <c r="AC46" s="495"/>
      <c r="AD46" s="428">
        <f t="shared" si="87"/>
        <v>0.79600536316981829</v>
      </c>
      <c r="AE46" s="428">
        <f t="shared" si="87"/>
        <v>0.79821428571428577</v>
      </c>
      <c r="AF46" s="494"/>
      <c r="AG46" s="494">
        <f t="shared" si="87"/>
        <v>0.66058817038181417</v>
      </c>
      <c r="AH46" s="494">
        <f t="shared" si="87"/>
        <v>0.65055762081784385</v>
      </c>
      <c r="AI46" s="540"/>
      <c r="AJ46" s="495">
        <f t="shared" si="87"/>
        <v>0.69925647723488182</v>
      </c>
      <c r="AK46" s="495">
        <f t="shared" si="87"/>
        <v>0.69542253521126762</v>
      </c>
      <c r="AL46" s="495"/>
      <c r="AM46" s="505">
        <f t="shared" si="87"/>
        <v>0.758944400157055</v>
      </c>
      <c r="AN46" s="505">
        <f t="shared" si="87"/>
        <v>0.74762316335350043</v>
      </c>
      <c r="AO46" s="503"/>
      <c r="AP46" s="503">
        <f t="shared" si="68"/>
        <v>0.72267259461601718</v>
      </c>
      <c r="AQ46" s="503">
        <f t="shared" si="69"/>
        <v>0.7224723301543855</v>
      </c>
      <c r="AR46" s="503"/>
    </row>
    <row r="47" spans="1:113" ht="15.75" outlineLevel="1" thickBot="1" x14ac:dyDescent="0.3">
      <c r="A47" s="445">
        <v>18</v>
      </c>
      <c r="B47" s="430">
        <f t="shared" si="70"/>
        <v>0.74843211163685941</v>
      </c>
      <c r="C47" s="498">
        <f t="shared" si="70"/>
        <v>0.72046109510086453</v>
      </c>
      <c r="D47" s="548"/>
      <c r="E47" s="427"/>
      <c r="F47" s="427"/>
      <c r="G47" s="427"/>
      <c r="H47" s="427"/>
      <c r="I47" s="501">
        <f t="shared" ref="I47:AN47" si="88">I22/I$25</f>
        <v>0.67615303952525174</v>
      </c>
      <c r="J47" s="502">
        <f t="shared" si="88"/>
        <v>0.66269841269841268</v>
      </c>
      <c r="K47" s="548"/>
      <c r="L47" s="492">
        <f t="shared" si="88"/>
        <v>0.74356072242792703</v>
      </c>
      <c r="M47" s="426">
        <f t="shared" si="88"/>
        <v>0.78115501519756836</v>
      </c>
      <c r="N47" s="426"/>
      <c r="O47" s="426">
        <f t="shared" si="88"/>
        <v>0.74172972852840835</v>
      </c>
      <c r="P47" s="426">
        <f t="shared" si="88"/>
        <v>0.75855130784708247</v>
      </c>
      <c r="Q47" s="426"/>
      <c r="R47" s="426">
        <f t="shared" si="88"/>
        <v>0.84959657348887596</v>
      </c>
      <c r="S47" s="426">
        <f t="shared" si="88"/>
        <v>0.85276442307692313</v>
      </c>
      <c r="T47" s="492"/>
      <c r="U47" s="492">
        <f t="shared" si="88"/>
        <v>0.71914715997408496</v>
      </c>
      <c r="V47" s="426">
        <f t="shared" si="88"/>
        <v>0.72979493365500603</v>
      </c>
      <c r="W47" s="426"/>
      <c r="X47" s="426">
        <f t="shared" si="88"/>
        <v>0.81029685001944429</v>
      </c>
      <c r="Y47" s="426">
        <f t="shared" si="88"/>
        <v>0.801025641025641</v>
      </c>
      <c r="Z47" s="426"/>
      <c r="AA47" s="426">
        <f t="shared" si="88"/>
        <v>0.7565696315794046</v>
      </c>
      <c r="AB47" s="426">
        <f t="shared" si="88"/>
        <v>0.76124031007751936</v>
      </c>
      <c r="AC47" s="426"/>
      <c r="AD47" s="426">
        <f t="shared" si="88"/>
        <v>0.82402330204817609</v>
      </c>
      <c r="AE47" s="426">
        <f t="shared" si="88"/>
        <v>0.82499999999999996</v>
      </c>
      <c r="AF47" s="555"/>
      <c r="AG47" s="496">
        <f t="shared" si="88"/>
        <v>0.69694879717501657</v>
      </c>
      <c r="AH47" s="496">
        <f t="shared" si="88"/>
        <v>0.69144981412639406</v>
      </c>
      <c r="AI47" s="555"/>
      <c r="AJ47" s="426">
        <f t="shared" si="88"/>
        <v>0.72319526199848327</v>
      </c>
      <c r="AK47" s="426">
        <f t="shared" si="88"/>
        <v>0.72271126760563376</v>
      </c>
      <c r="AL47" s="426"/>
      <c r="AM47" s="509">
        <f t="shared" si="88"/>
        <v>0.78933215938700962</v>
      </c>
      <c r="AN47" s="509">
        <f t="shared" si="88"/>
        <v>0.77095937770095069</v>
      </c>
      <c r="AO47" s="560"/>
      <c r="AP47" s="503">
        <f>AVERAGE(B47,I47,L47,O47,R47,U47,X47,AA47,AD47,AG47,AJ47)</f>
        <v>0.75360483440017567</v>
      </c>
      <c r="AQ47" s="503">
        <f t="shared" si="69"/>
        <v>0.7551683836737314</v>
      </c>
      <c r="AR47" s="503"/>
    </row>
    <row r="48" spans="1:113" ht="15.75" outlineLevel="1" thickBot="1" x14ac:dyDescent="0.3">
      <c r="A48" s="444">
        <v>19</v>
      </c>
      <c r="B48" s="429">
        <f t="shared" si="70"/>
        <v>0.79518806640468365</v>
      </c>
      <c r="C48" s="429">
        <f t="shared" si="70"/>
        <v>0.7694524495677233</v>
      </c>
      <c r="D48" s="549"/>
      <c r="E48" s="427"/>
      <c r="F48" s="427"/>
      <c r="G48" s="427"/>
      <c r="H48" s="427"/>
      <c r="I48" s="497">
        <f t="shared" ref="I48:AN48" si="89">I23/I$25</f>
        <v>0.72373331146273312</v>
      </c>
      <c r="J48" s="499">
        <f t="shared" si="89"/>
        <v>0.71031746031746035</v>
      </c>
      <c r="K48" s="549"/>
      <c r="L48" s="428">
        <f t="shared" si="89"/>
        <v>0.81790547641761124</v>
      </c>
      <c r="M48" s="428">
        <f t="shared" si="89"/>
        <v>0.83434650455927051</v>
      </c>
      <c r="N48" s="428"/>
      <c r="O48" s="428">
        <f t="shared" si="89"/>
        <v>0.79377937793779374</v>
      </c>
      <c r="P48" s="428">
        <f t="shared" si="89"/>
        <v>0.80684104627766595</v>
      </c>
      <c r="Q48" s="428"/>
      <c r="R48" s="428">
        <f t="shared" si="89"/>
        <v>0.88752159346152082</v>
      </c>
      <c r="S48" s="428">
        <f t="shared" si="89"/>
        <v>0.89122596153846156</v>
      </c>
      <c r="T48" s="428"/>
      <c r="U48" s="428">
        <f t="shared" si="89"/>
        <v>0.76731274983547026</v>
      </c>
      <c r="V48" s="428">
        <f t="shared" si="89"/>
        <v>0.77804583835946928</v>
      </c>
      <c r="W48" s="428"/>
      <c r="X48" s="428">
        <f t="shared" si="89"/>
        <v>0.8542539860865056</v>
      </c>
      <c r="Y48" s="428">
        <f t="shared" si="89"/>
        <v>0.84820512820512817</v>
      </c>
      <c r="Z48" s="428"/>
      <c r="AA48" s="428">
        <f t="shared" si="89"/>
        <v>0.79572246401362134</v>
      </c>
      <c r="AB48" s="428">
        <f t="shared" si="89"/>
        <v>0.8046511627906977</v>
      </c>
      <c r="AC48" s="428"/>
      <c r="AD48" s="428">
        <f t="shared" si="89"/>
        <v>0.86279532109667578</v>
      </c>
      <c r="AE48" s="428">
        <f t="shared" si="89"/>
        <v>0.86547619047619051</v>
      </c>
      <c r="AF48" s="495"/>
      <c r="AG48" s="495">
        <f t="shared" si="89"/>
        <v>0.73681306554844406</v>
      </c>
      <c r="AH48" s="495">
        <f t="shared" si="89"/>
        <v>0.73605947955390338</v>
      </c>
      <c r="AI48" s="495"/>
      <c r="AJ48" s="428">
        <f t="shared" si="89"/>
        <v>0.79272045871301944</v>
      </c>
      <c r="AK48" s="428">
        <f t="shared" si="89"/>
        <v>0.79225352112676062</v>
      </c>
      <c r="AL48" s="428"/>
      <c r="AM48" s="505">
        <f t="shared" si="89"/>
        <v>0.85352243387628346</v>
      </c>
      <c r="AN48" s="505">
        <f t="shared" si="89"/>
        <v>0.84096802074330168</v>
      </c>
      <c r="AO48" s="503"/>
      <c r="AP48" s="503">
        <f t="shared" ref="AP48:AP50" si="90">AVERAGE(B48,I48,L48,O48,R48,U48,X48,AA48,AD48,AG48,AJ48)</f>
        <v>0.80252235190709797</v>
      </c>
      <c r="AQ48" s="503">
        <f t="shared" si="69"/>
        <v>0.80335224934297567</v>
      </c>
      <c r="AR48" s="503"/>
    </row>
    <row r="49" spans="1:47" outlineLevel="1" x14ac:dyDescent="0.25">
      <c r="A49" s="445">
        <v>20</v>
      </c>
      <c r="B49" s="430">
        <f t="shared" si="70"/>
        <v>0.87596439169139462</v>
      </c>
      <c r="C49" s="430">
        <f t="shared" si="70"/>
        <v>0.86455331412103742</v>
      </c>
      <c r="D49" s="550"/>
      <c r="E49" s="427"/>
      <c r="F49" s="427"/>
      <c r="G49" s="431"/>
      <c r="H49" s="431"/>
      <c r="I49" s="430">
        <f t="shared" ref="I49:AN49" si="91">I24/I$25</f>
        <v>0.76346360009607439</v>
      </c>
      <c r="J49" s="498">
        <f t="shared" si="91"/>
        <v>0.76190476190476186</v>
      </c>
      <c r="K49" s="550"/>
      <c r="L49" s="430">
        <f t="shared" si="91"/>
        <v>0.88009119278218828</v>
      </c>
      <c r="M49" s="430">
        <f t="shared" si="91"/>
        <v>0.88753799392097266</v>
      </c>
      <c r="N49" s="430"/>
      <c r="O49" s="426">
        <f t="shared" si="91"/>
        <v>0.87778777877787784</v>
      </c>
      <c r="P49" s="426">
        <f t="shared" si="91"/>
        <v>0.88531187122736421</v>
      </c>
      <c r="Q49" s="426"/>
      <c r="R49" s="426">
        <f t="shared" si="91"/>
        <v>0.9239575534242106</v>
      </c>
      <c r="S49" s="426">
        <f t="shared" si="91"/>
        <v>0.92848557692307687</v>
      </c>
      <c r="T49" s="426"/>
      <c r="U49" s="426">
        <f t="shared" si="91"/>
        <v>0.84719608099214616</v>
      </c>
      <c r="V49" s="426">
        <f t="shared" si="91"/>
        <v>0.85705669481302771</v>
      </c>
      <c r="W49" s="426"/>
      <c r="X49" s="426">
        <f t="shared" si="91"/>
        <v>0.88997537052240416</v>
      </c>
      <c r="Y49" s="426">
        <f t="shared" si="91"/>
        <v>0.88512820512820511</v>
      </c>
      <c r="Z49" s="426"/>
      <c r="AA49" s="426">
        <f t="shared" si="91"/>
        <v>0.86612285319642435</v>
      </c>
      <c r="AB49" s="426">
        <f t="shared" si="91"/>
        <v>0.8651162790697674</v>
      </c>
      <c r="AC49" s="426"/>
      <c r="AD49" s="426">
        <f t="shared" si="91"/>
        <v>0.91130734970024807</v>
      </c>
      <c r="AE49" s="426">
        <f t="shared" si="91"/>
        <v>0.91249999999999998</v>
      </c>
      <c r="AF49" s="426"/>
      <c r="AG49" s="426">
        <f t="shared" si="91"/>
        <v>0.83143897594350036</v>
      </c>
      <c r="AH49" s="426">
        <f t="shared" si="91"/>
        <v>0.84386617100371752</v>
      </c>
      <c r="AI49" s="426"/>
      <c r="AJ49" s="426">
        <f t="shared" si="91"/>
        <v>0.85972177081201673</v>
      </c>
      <c r="AK49" s="426">
        <f t="shared" si="91"/>
        <v>0.86707746478873238</v>
      </c>
      <c r="AL49" s="426"/>
      <c r="AM49" s="509">
        <f t="shared" si="91"/>
        <v>0.9116208787940081</v>
      </c>
      <c r="AN49" s="509">
        <f t="shared" si="91"/>
        <v>0.9101123595505618</v>
      </c>
      <c r="AO49" s="560"/>
      <c r="AP49" s="503">
        <f t="shared" si="90"/>
        <v>0.86609335617622596</v>
      </c>
      <c r="AQ49" s="503">
        <f t="shared" si="69"/>
        <v>0.86895803026369656</v>
      </c>
      <c r="AR49" s="503"/>
    </row>
    <row r="50" spans="1:47" outlineLevel="1" x14ac:dyDescent="0.25">
      <c r="A50" s="537">
        <v>21</v>
      </c>
      <c r="B50" s="429">
        <f t="shared" si="70"/>
        <v>1</v>
      </c>
      <c r="C50" s="429">
        <f t="shared" si="70"/>
        <v>1</v>
      </c>
      <c r="D50" s="549"/>
      <c r="E50" s="429"/>
      <c r="F50" s="429"/>
      <c r="G50" s="428"/>
      <c r="H50" s="428"/>
      <c r="I50" s="429">
        <f t="shared" ref="I50:AN50" si="92">I25/I$25</f>
        <v>1</v>
      </c>
      <c r="J50" s="429">
        <f t="shared" si="92"/>
        <v>1</v>
      </c>
      <c r="K50" s="549"/>
      <c r="L50" s="429">
        <f t="shared" si="92"/>
        <v>1</v>
      </c>
      <c r="M50" s="429">
        <f t="shared" si="92"/>
        <v>1</v>
      </c>
      <c r="N50" s="429"/>
      <c r="O50" s="428">
        <f t="shared" si="92"/>
        <v>1</v>
      </c>
      <c r="P50" s="428">
        <f t="shared" si="92"/>
        <v>1</v>
      </c>
      <c r="Q50" s="428"/>
      <c r="R50" s="428">
        <f t="shared" si="92"/>
        <v>1</v>
      </c>
      <c r="S50" s="428">
        <f t="shared" si="92"/>
        <v>1</v>
      </c>
      <c r="T50" s="428"/>
      <c r="U50" s="428">
        <f t="shared" si="92"/>
        <v>1</v>
      </c>
      <c r="V50" s="428">
        <f t="shared" si="92"/>
        <v>1</v>
      </c>
      <c r="W50" s="428"/>
      <c r="X50" s="428">
        <f t="shared" si="92"/>
        <v>1</v>
      </c>
      <c r="Y50" s="428">
        <f t="shared" si="92"/>
        <v>1</v>
      </c>
      <c r="Z50" s="428"/>
      <c r="AA50" s="428">
        <f t="shared" si="92"/>
        <v>1</v>
      </c>
      <c r="AB50" s="428">
        <f t="shared" si="92"/>
        <v>1</v>
      </c>
      <c r="AC50" s="428"/>
      <c r="AD50" s="428">
        <f t="shared" si="92"/>
        <v>1</v>
      </c>
      <c r="AE50" s="428">
        <f t="shared" si="92"/>
        <v>1</v>
      </c>
      <c r="AF50" s="428"/>
      <c r="AG50" s="428">
        <f t="shared" si="92"/>
        <v>1</v>
      </c>
      <c r="AH50" s="428">
        <f t="shared" si="92"/>
        <v>1</v>
      </c>
      <c r="AI50" s="428"/>
      <c r="AJ50" s="428">
        <f t="shared" si="92"/>
        <v>1</v>
      </c>
      <c r="AK50" s="428">
        <f t="shared" si="92"/>
        <v>1</v>
      </c>
      <c r="AL50" s="428"/>
      <c r="AM50" s="505">
        <f t="shared" si="92"/>
        <v>1</v>
      </c>
      <c r="AN50" s="505">
        <f t="shared" si="92"/>
        <v>1</v>
      </c>
      <c r="AO50" s="503"/>
      <c r="AP50" s="503">
        <f t="shared" si="90"/>
        <v>1</v>
      </c>
      <c r="AQ50" s="503">
        <f t="shared" si="69"/>
        <v>1</v>
      </c>
      <c r="AR50" s="503"/>
    </row>
    <row r="51" spans="1:47" outlineLevel="1" x14ac:dyDescent="0.25">
      <c r="AA51" s="22"/>
      <c r="AH51" s="22"/>
      <c r="AI51" s="22"/>
    </row>
    <row r="52" spans="1:47" outlineLevel="1" x14ac:dyDescent="0.25">
      <c r="A52" s="529" t="s">
        <v>328</v>
      </c>
      <c r="AA52" s="22"/>
      <c r="AH52" s="22"/>
      <c r="AI52" s="22"/>
      <c r="AM52" s="724" t="s">
        <v>350</v>
      </c>
      <c r="AN52" s="724"/>
      <c r="AO52" s="558"/>
    </row>
    <row r="53" spans="1:47" outlineLevel="1" x14ac:dyDescent="0.25">
      <c r="A53" s="443" t="s">
        <v>31</v>
      </c>
      <c r="B53" s="441" t="s">
        <v>70</v>
      </c>
      <c r="C53" s="433" t="s">
        <v>71</v>
      </c>
      <c r="D53" s="542"/>
      <c r="E53" s="435" t="s">
        <v>52</v>
      </c>
      <c r="F53" s="436" t="s">
        <v>53</v>
      </c>
      <c r="G53" s="437" t="s">
        <v>48</v>
      </c>
      <c r="H53" s="438" t="s">
        <v>49</v>
      </c>
      <c r="I53" s="435" t="s">
        <v>50</v>
      </c>
      <c r="J53" s="436" t="s">
        <v>51</v>
      </c>
      <c r="K53" s="542"/>
      <c r="L53" s="439" t="s">
        <v>136</v>
      </c>
      <c r="M53" s="442" t="s">
        <v>137</v>
      </c>
      <c r="N53" s="442"/>
      <c r="O53" s="441" t="s">
        <v>72</v>
      </c>
      <c r="P53" s="433" t="s">
        <v>73</v>
      </c>
      <c r="Q53" s="433"/>
      <c r="R53" s="437" t="s">
        <v>87</v>
      </c>
      <c r="S53" s="438" t="s">
        <v>88</v>
      </c>
      <c r="T53" s="438"/>
      <c r="U53" s="434" t="s">
        <v>94</v>
      </c>
      <c r="V53" s="434" t="s">
        <v>95</v>
      </c>
      <c r="W53" s="434"/>
      <c r="X53" s="434" t="s">
        <v>110</v>
      </c>
      <c r="Y53" s="434" t="s">
        <v>113</v>
      </c>
      <c r="Z53" s="434"/>
      <c r="AA53" s="439" t="s">
        <v>132</v>
      </c>
      <c r="AB53" s="442" t="s">
        <v>133</v>
      </c>
      <c r="AC53" s="442"/>
      <c r="AD53" s="437" t="s">
        <v>134</v>
      </c>
      <c r="AE53" s="438" t="s">
        <v>135</v>
      </c>
      <c r="AF53" s="438"/>
      <c r="AG53" s="439" t="s">
        <v>154</v>
      </c>
      <c r="AH53" s="442" t="s">
        <v>153</v>
      </c>
      <c r="AI53" s="442"/>
      <c r="AJ53" s="434" t="s">
        <v>169</v>
      </c>
      <c r="AK53" s="434" t="s">
        <v>170</v>
      </c>
      <c r="AL53" s="434"/>
      <c r="AM53" s="434" t="s">
        <v>199</v>
      </c>
      <c r="AN53" s="434" t="s">
        <v>200</v>
      </c>
      <c r="AO53" s="559"/>
      <c r="AP53" s="712" t="s">
        <v>351</v>
      </c>
      <c r="AQ53" s="712"/>
      <c r="AR53" s="512"/>
    </row>
    <row r="54" spans="1:47" outlineLevel="1" x14ac:dyDescent="0.25">
      <c r="A54" s="444">
        <v>1</v>
      </c>
      <c r="B54" s="428">
        <f>B30-B29</f>
        <v>0.23692357045472773</v>
      </c>
      <c r="C54" s="428">
        <f t="shared" ref="C54:AN54" si="93">C30-C29</f>
        <v>0.21037463976945245</v>
      </c>
      <c r="D54" s="543"/>
      <c r="E54" s="428">
        <f t="shared" si="93"/>
        <v>0</v>
      </c>
      <c r="F54" s="428">
        <f t="shared" si="93"/>
        <v>0</v>
      </c>
      <c r="G54" s="428">
        <f t="shared" si="93"/>
        <v>0</v>
      </c>
      <c r="H54" s="428">
        <f t="shared" si="93"/>
        <v>0</v>
      </c>
      <c r="I54" s="428">
        <f t="shared" si="93"/>
        <v>0.25446248118054376</v>
      </c>
      <c r="J54" s="428">
        <f t="shared" si="93"/>
        <v>0.23677248677248677</v>
      </c>
      <c r="K54" s="543"/>
      <c r="L54" s="428">
        <f t="shared" si="93"/>
        <v>0.29429074975342379</v>
      </c>
      <c r="M54" s="428">
        <f t="shared" si="93"/>
        <v>0.29635258358662614</v>
      </c>
      <c r="N54" s="428"/>
      <c r="O54" s="428">
        <f t="shared" si="93"/>
        <v>0.21793290440155128</v>
      </c>
      <c r="P54" s="428">
        <f t="shared" si="93"/>
        <v>0.23138832997987926</v>
      </c>
      <c r="Q54" s="428"/>
      <c r="R54" s="428">
        <f t="shared" si="93"/>
        <v>0.37533932582389773</v>
      </c>
      <c r="S54" s="428">
        <f t="shared" si="93"/>
        <v>0.37560096153846156</v>
      </c>
      <c r="T54" s="428"/>
      <c r="U54" s="428">
        <f t="shared" si="93"/>
        <v>0.212457139052565</v>
      </c>
      <c r="V54" s="428">
        <f t="shared" si="93"/>
        <v>0.20566948130277443</v>
      </c>
      <c r="W54" s="428"/>
      <c r="X54" s="428">
        <f t="shared" si="93"/>
        <v>0.33040660242838005</v>
      </c>
      <c r="Y54" s="428">
        <f t="shared" si="93"/>
        <v>0.32512820512820512</v>
      </c>
      <c r="Z54" s="428"/>
      <c r="AA54" s="428">
        <f t="shared" si="93"/>
        <v>0.23216317878953724</v>
      </c>
      <c r="AB54" s="428">
        <f t="shared" si="93"/>
        <v>0.21085271317829457</v>
      </c>
      <c r="AC54" s="428"/>
      <c r="AD54" s="428">
        <f t="shared" si="93"/>
        <v>0.29954536347804644</v>
      </c>
      <c r="AE54" s="428">
        <f t="shared" si="93"/>
        <v>0.29107142857142859</v>
      </c>
      <c r="AF54" s="428"/>
      <c r="AG54" s="428">
        <f t="shared" si="93"/>
        <v>0.23055065107040387</v>
      </c>
      <c r="AH54" s="428">
        <f t="shared" si="93"/>
        <v>0.24907063197026022</v>
      </c>
      <c r="AI54" s="428"/>
      <c r="AJ54" s="428">
        <f t="shared" si="93"/>
        <v>0.15888034218899844</v>
      </c>
      <c r="AK54" s="428">
        <f t="shared" si="93"/>
        <v>0.15845070422535212</v>
      </c>
      <c r="AL54" s="428"/>
      <c r="AM54" s="428">
        <f t="shared" si="93"/>
        <v>0.30887479624495817</v>
      </c>
      <c r="AN54" s="428">
        <f t="shared" si="93"/>
        <v>0.2999135695764909</v>
      </c>
      <c r="AO54" s="540"/>
      <c r="AP54" s="503">
        <f t="shared" ref="AP54:AP71" si="94">AVERAGE(B54,I54,L54,O54,R54,U54,X54,AA54,AD54,AG54,AJ54)</f>
        <v>0.2584502098747341</v>
      </c>
      <c r="AQ54" s="503">
        <f t="shared" ref="AQ54:AQ74" si="95">AVERAGE(C54,J54,M54,P54,S54,V54,Y54,AB54,AE54,AH54,AK54)</f>
        <v>0.2537029241839292</v>
      </c>
      <c r="AR54" s="503"/>
    </row>
    <row r="55" spans="1:47" outlineLevel="1" x14ac:dyDescent="0.25">
      <c r="A55" s="445">
        <v>2</v>
      </c>
      <c r="B55" s="426">
        <f t="shared" ref="B55:AN55" si="96">B31-B30</f>
        <v>3.1967278851551872E-2</v>
      </c>
      <c r="C55" s="426">
        <f t="shared" si="96"/>
        <v>2.5936599423631135E-2</v>
      </c>
      <c r="D55" s="544"/>
      <c r="E55" s="427"/>
      <c r="F55" s="427"/>
      <c r="G55" s="427"/>
      <c r="H55" s="427"/>
      <c r="I55" s="426">
        <f t="shared" si="96"/>
        <v>3.5647125675889402E-2</v>
      </c>
      <c r="J55" s="426">
        <f t="shared" si="96"/>
        <v>3.5714285714285726E-2</v>
      </c>
      <c r="K55" s="544"/>
      <c r="L55" s="426">
        <f t="shared" si="96"/>
        <v>5.0584506928387785E-2</v>
      </c>
      <c r="M55" s="426">
        <f t="shared" si="96"/>
        <v>5.7750759878419433E-2</v>
      </c>
      <c r="N55" s="426"/>
      <c r="O55" s="426">
        <f t="shared" si="96"/>
        <v>5.4672133880054652E-2</v>
      </c>
      <c r="P55" s="426">
        <f t="shared" si="96"/>
        <v>6.0362173038229411E-2</v>
      </c>
      <c r="Q55" s="426"/>
      <c r="R55" s="426">
        <f t="shared" si="96"/>
        <v>0.10150704584715387</v>
      </c>
      <c r="S55" s="426">
        <f t="shared" si="96"/>
        <v>9.8557692307692291E-2</v>
      </c>
      <c r="T55" s="426"/>
      <c r="U55" s="426">
        <f t="shared" si="96"/>
        <v>3.4217056288363579E-2</v>
      </c>
      <c r="V55" s="426">
        <f t="shared" si="96"/>
        <v>3.7997587454764781E-2</v>
      </c>
      <c r="W55" s="426"/>
      <c r="X55" s="426">
        <f t="shared" si="96"/>
        <v>0.10254072505725276</v>
      </c>
      <c r="Y55" s="426">
        <f t="shared" si="96"/>
        <v>0.10256410256410259</v>
      </c>
      <c r="Z55" s="426"/>
      <c r="AA55" s="426">
        <f t="shared" si="96"/>
        <v>4.9438377941674716E-2</v>
      </c>
      <c r="AB55" s="426">
        <f t="shared" si="96"/>
        <v>5.5813953488372092E-2</v>
      </c>
      <c r="AC55" s="426"/>
      <c r="AD55" s="426">
        <f t="shared" si="96"/>
        <v>7.4622035230477612E-2</v>
      </c>
      <c r="AE55" s="426">
        <f t="shared" si="96"/>
        <v>7.678571428571429E-2</v>
      </c>
      <c r="AF55" s="426"/>
      <c r="AG55" s="426">
        <f t="shared" si="96"/>
        <v>8.4859854336791024E-2</v>
      </c>
      <c r="AH55" s="426">
        <f t="shared" si="96"/>
        <v>8.1784386617100385E-2</v>
      </c>
      <c r="AI55" s="426"/>
      <c r="AJ55" s="426">
        <f t="shared" si="96"/>
        <v>6.4308901006745078E-2</v>
      </c>
      <c r="AK55" s="426">
        <f t="shared" si="96"/>
        <v>6.6901408450704219E-2</v>
      </c>
      <c r="AL55" s="426"/>
      <c r="AM55" s="426">
        <f t="shared" si="96"/>
        <v>0.11603031637060218</v>
      </c>
      <c r="AN55" s="426">
        <f t="shared" si="96"/>
        <v>0.11754537597234227</v>
      </c>
      <c r="AO55" s="555"/>
      <c r="AP55" s="503">
        <f t="shared" si="94"/>
        <v>6.2215003731303842E-2</v>
      </c>
      <c r="AQ55" s="503">
        <f t="shared" si="95"/>
        <v>6.3651696656637849E-2</v>
      </c>
      <c r="AR55" s="503"/>
    </row>
    <row r="56" spans="1:47" outlineLevel="1" x14ac:dyDescent="0.25">
      <c r="A56" s="444">
        <v>3</v>
      </c>
      <c r="B56" s="428">
        <f t="shared" ref="B56:AN56" si="97">B32-B31</f>
        <v>1.4596198572459695E-2</v>
      </c>
      <c r="C56" s="428">
        <f t="shared" si="97"/>
        <v>2.3054755043227654E-2</v>
      </c>
      <c r="D56" s="543"/>
      <c r="E56" s="427"/>
      <c r="F56" s="427"/>
      <c r="G56" s="427"/>
      <c r="H56" s="427"/>
      <c r="I56" s="428">
        <f t="shared" si="97"/>
        <v>2.5653042454350017E-2</v>
      </c>
      <c r="J56" s="428">
        <f t="shared" si="97"/>
        <v>2.380952380952378E-2</v>
      </c>
      <c r="K56" s="543"/>
      <c r="L56" s="428">
        <f t="shared" si="97"/>
        <v>2.1132795446828445E-2</v>
      </c>
      <c r="M56" s="428">
        <f t="shared" si="97"/>
        <v>2.2796352583586643E-2</v>
      </c>
      <c r="N56" s="428"/>
      <c r="O56" s="428">
        <f t="shared" si="97"/>
        <v>3.4881265904368242E-2</v>
      </c>
      <c r="P56" s="428">
        <f t="shared" si="97"/>
        <v>3.4205231388329982E-2</v>
      </c>
      <c r="Q56" s="428"/>
      <c r="R56" s="428">
        <f t="shared" si="97"/>
        <v>3.5620323159484157E-2</v>
      </c>
      <c r="S56" s="428">
        <f t="shared" si="97"/>
        <v>3.7860576923076872E-2</v>
      </c>
      <c r="T56" s="428"/>
      <c r="U56" s="428">
        <f t="shared" si="97"/>
        <v>4.8191197596970131E-2</v>
      </c>
      <c r="V56" s="428">
        <f t="shared" si="97"/>
        <v>4.5838359469240059E-2</v>
      </c>
      <c r="W56" s="428"/>
      <c r="X56" s="428">
        <f t="shared" si="97"/>
        <v>4.446700946290455E-2</v>
      </c>
      <c r="Y56" s="428">
        <f t="shared" si="97"/>
        <v>4.2051282051282057E-2</v>
      </c>
      <c r="Z56" s="428"/>
      <c r="AA56" s="428">
        <f t="shared" si="97"/>
        <v>5.0168095697271375E-2</v>
      </c>
      <c r="AB56" s="428">
        <f t="shared" si="97"/>
        <v>4.1860465116279055E-2</v>
      </c>
      <c r="AC56" s="428"/>
      <c r="AD56" s="428">
        <f t="shared" si="97"/>
        <v>6.9178726093054088E-2</v>
      </c>
      <c r="AE56" s="428">
        <f t="shared" si="97"/>
        <v>6.7261904761904745E-2</v>
      </c>
      <c r="AF56" s="428"/>
      <c r="AG56" s="428">
        <f t="shared" si="97"/>
        <v>4.7588832487309607E-2</v>
      </c>
      <c r="AH56" s="428">
        <f t="shared" si="97"/>
        <v>4.4609665427509271E-2</v>
      </c>
      <c r="AI56" s="428"/>
      <c r="AJ56" s="428">
        <f t="shared" si="97"/>
        <v>3.9591684422134732E-2</v>
      </c>
      <c r="AK56" s="428">
        <f t="shared" si="97"/>
        <v>3.9612676056338031E-2</v>
      </c>
      <c r="AL56" s="428"/>
      <c r="AM56" s="428">
        <f t="shared" si="97"/>
        <v>4.3178221709281706E-2</v>
      </c>
      <c r="AN56" s="428">
        <f t="shared" si="97"/>
        <v>4.5808124459809862E-2</v>
      </c>
      <c r="AO56" s="540"/>
      <c r="AP56" s="503">
        <f t="shared" si="94"/>
        <v>3.9188106481557732E-2</v>
      </c>
      <c r="AQ56" s="503">
        <f t="shared" si="95"/>
        <v>3.8450981148208926E-2</v>
      </c>
      <c r="AR56" s="503"/>
    </row>
    <row r="57" spans="1:47" ht="15.75" outlineLevel="1" thickBot="1" x14ac:dyDescent="0.3">
      <c r="A57" s="445">
        <v>4</v>
      </c>
      <c r="B57" s="426">
        <f t="shared" ref="B57:AN57" si="98">B33-B32</f>
        <v>1.9360012831822926E-2</v>
      </c>
      <c r="C57" s="426">
        <f t="shared" si="98"/>
        <v>1.4409221902017266E-2</v>
      </c>
      <c r="D57" s="544"/>
      <c r="E57" s="427"/>
      <c r="F57" s="427"/>
      <c r="G57" s="427"/>
      <c r="H57" s="427"/>
      <c r="I57" s="426">
        <f t="shared" si="98"/>
        <v>3.5512387156490022E-2</v>
      </c>
      <c r="J57" s="426">
        <f t="shared" si="98"/>
        <v>3.0423280423280463E-2</v>
      </c>
      <c r="K57" s="544"/>
      <c r="L57" s="426">
        <f t="shared" si="98"/>
        <v>2.1698708102252329E-2</v>
      </c>
      <c r="M57" s="426">
        <f t="shared" si="98"/>
        <v>2.4316109422492405E-2</v>
      </c>
      <c r="N57" s="426"/>
      <c r="O57" s="426">
        <f t="shared" si="98"/>
        <v>2.9480725850362821E-2</v>
      </c>
      <c r="P57" s="426">
        <f t="shared" si="98"/>
        <v>3.2193158953722323E-2</v>
      </c>
      <c r="Q57" s="426"/>
      <c r="R57" s="426">
        <f t="shared" si="98"/>
        <v>2.1269298175901508E-2</v>
      </c>
      <c r="S57" s="426">
        <f t="shared" si="98"/>
        <v>2.34375E-2</v>
      </c>
      <c r="T57" s="426"/>
      <c r="U57" s="426">
        <f t="shared" si="98"/>
        <v>2.2245439902485731E-2</v>
      </c>
      <c r="V57" s="426">
        <f t="shared" si="98"/>
        <v>2.4125452352231569E-2</v>
      </c>
      <c r="W57" s="426"/>
      <c r="X57" s="426">
        <f t="shared" si="98"/>
        <v>2.9542410232035576E-2</v>
      </c>
      <c r="Y57" s="426">
        <f t="shared" si="98"/>
        <v>2.8717948717948694E-2</v>
      </c>
      <c r="Z57" s="426"/>
      <c r="AA57" s="426">
        <f t="shared" si="98"/>
        <v>2.9588317566217548E-2</v>
      </c>
      <c r="AB57" s="426">
        <f t="shared" si="98"/>
        <v>2.9457364341085313E-2</v>
      </c>
      <c r="AC57" s="426"/>
      <c r="AD57" s="426">
        <f t="shared" si="98"/>
        <v>4.0075824125017312E-2</v>
      </c>
      <c r="AE57" s="426">
        <f t="shared" si="98"/>
        <v>3.9285714285714257E-2</v>
      </c>
      <c r="AF57" s="426"/>
      <c r="AG57" s="426">
        <f t="shared" si="98"/>
        <v>2.9711984109468126E-2</v>
      </c>
      <c r="AH57" s="426">
        <f t="shared" si="98"/>
        <v>3.3457249070631967E-2</v>
      </c>
      <c r="AI57" s="426"/>
      <c r="AJ57" s="426">
        <f t="shared" si="98"/>
        <v>1.7430452734342072E-2</v>
      </c>
      <c r="AK57" s="426">
        <f t="shared" si="98"/>
        <v>1.9366197183098566E-2</v>
      </c>
      <c r="AL57" s="426"/>
      <c r="AM57" s="426">
        <f t="shared" si="98"/>
        <v>4.6581079634014255E-2</v>
      </c>
      <c r="AN57" s="426">
        <f t="shared" si="98"/>
        <v>4.2350907519446868E-2</v>
      </c>
      <c r="AO57" s="555"/>
      <c r="AP57" s="503">
        <f t="shared" si="94"/>
        <v>2.6901414616945087E-2</v>
      </c>
      <c r="AQ57" s="503">
        <f t="shared" si="95"/>
        <v>2.7199017877474804E-2</v>
      </c>
      <c r="AR57" s="503"/>
      <c r="AS57" s="23"/>
      <c r="AT57" s="23"/>
      <c r="AU57" s="23"/>
    </row>
    <row r="58" spans="1:47" ht="15.75" outlineLevel="1" thickBot="1" x14ac:dyDescent="0.3">
      <c r="A58" s="444">
        <v>5</v>
      </c>
      <c r="B58" s="428">
        <f t="shared" ref="B58:AN58" si="99">B34-B33</f>
        <v>4.819953484641909E-2</v>
      </c>
      <c r="C58" s="428">
        <f t="shared" si="99"/>
        <v>4.6109510086455363E-2</v>
      </c>
      <c r="D58" s="543"/>
      <c r="E58" s="427"/>
      <c r="F58" s="427"/>
      <c r="G58" s="427"/>
      <c r="H58" s="427"/>
      <c r="I58" s="428">
        <f t="shared" si="99"/>
        <v>1.8465035354215842E-2</v>
      </c>
      <c r="J58" s="428">
        <f t="shared" si="99"/>
        <v>2.2486772486772444E-2</v>
      </c>
      <c r="K58" s="543"/>
      <c r="L58" s="428">
        <f t="shared" si="99"/>
        <v>2.2685013015991073E-2</v>
      </c>
      <c r="M58" s="428">
        <f t="shared" si="99"/>
        <v>2.4316109422492405E-2</v>
      </c>
      <c r="N58" s="428"/>
      <c r="O58" s="428">
        <f t="shared" si="99"/>
        <v>2.5524774699692165E-2</v>
      </c>
      <c r="P58" s="428">
        <f t="shared" si="99"/>
        <v>2.6156941649899401E-2</v>
      </c>
      <c r="Q58" s="428"/>
      <c r="R58" s="428">
        <f t="shared" si="99"/>
        <v>1.5350702911614222E-2</v>
      </c>
      <c r="S58" s="428">
        <f t="shared" si="99"/>
        <v>1.6225961538461564E-2</v>
      </c>
      <c r="T58" s="428"/>
      <c r="U58" s="428">
        <f t="shared" si="99"/>
        <v>2.0916398425636418E-2</v>
      </c>
      <c r="V58" s="428">
        <f t="shared" si="99"/>
        <v>2.6537997587454787E-2</v>
      </c>
      <c r="W58" s="428"/>
      <c r="X58" s="428">
        <f t="shared" si="99"/>
        <v>1.3148684267381139E-2</v>
      </c>
      <c r="Y58" s="428">
        <f t="shared" si="99"/>
        <v>1.1282051282051342E-2</v>
      </c>
      <c r="Z58" s="428"/>
      <c r="AA58" s="428">
        <f t="shared" si="99"/>
        <v>2.3985127657171645E-2</v>
      </c>
      <c r="AB58" s="428">
        <f t="shared" si="99"/>
        <v>2.635658914728678E-2</v>
      </c>
      <c r="AC58" s="428"/>
      <c r="AD58" s="428">
        <f t="shared" si="99"/>
        <v>3.1155701450213458E-2</v>
      </c>
      <c r="AE58" s="428">
        <f t="shared" si="99"/>
        <v>2.9761904761904767E-2</v>
      </c>
      <c r="AF58" s="428"/>
      <c r="AG58" s="428">
        <f t="shared" si="99"/>
        <v>2.1518428602957385E-2</v>
      </c>
      <c r="AH58" s="428">
        <f t="shared" si="99"/>
        <v>2.2304832713754663E-2</v>
      </c>
      <c r="AI58" s="428"/>
      <c r="AJ58" s="428">
        <f t="shared" si="99"/>
        <v>2.29396635088015E-2</v>
      </c>
      <c r="AK58" s="428">
        <f t="shared" si="99"/>
        <v>2.4647887323943685E-2</v>
      </c>
      <c r="AL58" s="428"/>
      <c r="AM58" s="428">
        <f t="shared" si="99"/>
        <v>2.0345758920603974E-2</v>
      </c>
      <c r="AN58" s="428">
        <f t="shared" si="99"/>
        <v>2.2471910112359494E-2</v>
      </c>
      <c r="AO58" s="540"/>
      <c r="AP58" s="504">
        <f t="shared" si="94"/>
        <v>2.3989914976372175E-2</v>
      </c>
      <c r="AQ58" s="504">
        <f t="shared" si="95"/>
        <v>2.5107868909134291E-2</v>
      </c>
      <c r="AR58" s="503"/>
      <c r="AS58" s="23"/>
      <c r="AT58" s="23"/>
      <c r="AU58" s="23"/>
    </row>
    <row r="59" spans="1:47" outlineLevel="1" x14ac:dyDescent="0.25">
      <c r="A59" s="445">
        <v>6</v>
      </c>
      <c r="B59" s="426">
        <f t="shared" ref="B59:AN59" si="100">B35-B34</f>
        <v>1.0987248375972425E-2</v>
      </c>
      <c r="C59" s="426">
        <f t="shared" si="100"/>
        <v>1.1527377521613813E-2</v>
      </c>
      <c r="D59" s="544"/>
      <c r="E59" s="427"/>
      <c r="F59" s="427"/>
      <c r="G59" s="427"/>
      <c r="H59" s="427"/>
      <c r="I59" s="426">
        <f t="shared" si="100"/>
        <v>1.1909713475609374E-2</v>
      </c>
      <c r="J59" s="426">
        <f t="shared" si="100"/>
        <v>1.3227513227513255E-2</v>
      </c>
      <c r="K59" s="544"/>
      <c r="L59" s="426">
        <f t="shared" si="100"/>
        <v>2.478697430756549E-2</v>
      </c>
      <c r="M59" s="426">
        <f t="shared" si="100"/>
        <v>2.1276595744680826E-2</v>
      </c>
      <c r="N59" s="426"/>
      <c r="O59" s="426">
        <f t="shared" si="100"/>
        <v>5.4005400540053983E-2</v>
      </c>
      <c r="P59" s="426">
        <f t="shared" si="100"/>
        <v>5.8350100603621724E-2</v>
      </c>
      <c r="Q59" s="426"/>
      <c r="R59" s="426">
        <f t="shared" si="100"/>
        <v>1.8065309502796167E-2</v>
      </c>
      <c r="S59" s="426">
        <f t="shared" si="100"/>
        <v>2.1033653846153855E-2</v>
      </c>
      <c r="T59" s="426"/>
      <c r="U59" s="426">
        <f t="shared" si="100"/>
        <v>4.8539462800922861E-2</v>
      </c>
      <c r="V59" s="426">
        <f t="shared" si="100"/>
        <v>5.3075995174909518E-2</v>
      </c>
      <c r="W59" s="426"/>
      <c r="X59" s="426">
        <f t="shared" si="100"/>
        <v>1.2228319578274194E-2</v>
      </c>
      <c r="Y59" s="426">
        <f t="shared" si="100"/>
        <v>1.1282051282051175E-2</v>
      </c>
      <c r="Z59" s="426"/>
      <c r="AA59" s="426">
        <f t="shared" si="100"/>
        <v>1.0424539365666785E-2</v>
      </c>
      <c r="AB59" s="426">
        <f t="shared" si="100"/>
        <v>9.3023255813953765E-3</v>
      </c>
      <c r="AC59" s="426"/>
      <c r="AD59" s="426">
        <f t="shared" si="100"/>
        <v>2.7737451261423685E-2</v>
      </c>
      <c r="AE59" s="426">
        <f t="shared" si="100"/>
        <v>3.214285714285714E-2</v>
      </c>
      <c r="AF59" s="426"/>
      <c r="AG59" s="426">
        <f t="shared" si="100"/>
        <v>3.371220481129994E-2</v>
      </c>
      <c r="AH59" s="426">
        <f t="shared" si="100"/>
        <v>2.6022304832713727E-2</v>
      </c>
      <c r="AI59" s="426"/>
      <c r="AJ59" s="426">
        <f t="shared" si="100"/>
        <v>3.9531496394737187E-2</v>
      </c>
      <c r="AK59" s="426">
        <f t="shared" si="100"/>
        <v>3.8732394366197187E-2</v>
      </c>
      <c r="AL59" s="426"/>
      <c r="AM59" s="426">
        <f t="shared" si="100"/>
        <v>1.8489654598022542E-2</v>
      </c>
      <c r="AN59" s="426">
        <f t="shared" si="100"/>
        <v>1.9014693171996555E-2</v>
      </c>
      <c r="AO59" s="555"/>
      <c r="AP59" s="503">
        <f t="shared" si="94"/>
        <v>2.6538920037665645E-2</v>
      </c>
      <c r="AQ59" s="503">
        <f t="shared" si="95"/>
        <v>2.6906651756700692E-2</v>
      </c>
      <c r="AR59" s="503"/>
    </row>
    <row r="60" spans="1:47" outlineLevel="1" x14ac:dyDescent="0.25">
      <c r="A60" s="444">
        <v>7</v>
      </c>
      <c r="B60" s="428">
        <f t="shared" ref="B60:AN60" si="101">B36-B35</f>
        <v>2.5808003849546846E-2</v>
      </c>
      <c r="C60" s="428">
        <f t="shared" si="101"/>
        <v>2.5936599423631135E-2</v>
      </c>
      <c r="D60" s="543"/>
      <c r="E60" s="427"/>
      <c r="F60" s="427"/>
      <c r="G60" s="427"/>
      <c r="H60" s="427"/>
      <c r="I60" s="428">
        <f t="shared" si="101"/>
        <v>2.6215429317930194E-2</v>
      </c>
      <c r="J60" s="428">
        <f t="shared" si="101"/>
        <v>2.777777777777779E-2</v>
      </c>
      <c r="K60" s="543"/>
      <c r="L60" s="428">
        <f t="shared" si="101"/>
        <v>1.7397771921030925E-2</v>
      </c>
      <c r="M60" s="428">
        <f t="shared" si="101"/>
        <v>2.1276595744680882E-2</v>
      </c>
      <c r="N60" s="428"/>
      <c r="O60" s="428">
        <f t="shared" si="101"/>
        <v>3.0469713638030471E-2</v>
      </c>
      <c r="P60" s="428">
        <f t="shared" si="101"/>
        <v>3.2193158953722323E-2</v>
      </c>
      <c r="Q60" s="428"/>
      <c r="R60" s="428">
        <f t="shared" si="101"/>
        <v>4.8954939203687542E-2</v>
      </c>
      <c r="S60" s="428">
        <f t="shared" si="101"/>
        <v>5.46875E-2</v>
      </c>
      <c r="T60" s="428"/>
      <c r="U60" s="428">
        <f t="shared" si="101"/>
        <v>3.4657509340421555E-2</v>
      </c>
      <c r="V60" s="428">
        <f t="shared" si="101"/>
        <v>3.4378769601930037E-2</v>
      </c>
      <c r="W60" s="428"/>
      <c r="X60" s="428">
        <f t="shared" si="101"/>
        <v>1.5188177850753992E-2</v>
      </c>
      <c r="Y60" s="428">
        <f t="shared" si="101"/>
        <v>1.5384615384615441E-2</v>
      </c>
      <c r="Z60" s="428"/>
      <c r="AA60" s="428">
        <f t="shared" si="101"/>
        <v>3.8753225091866239E-2</v>
      </c>
      <c r="AB60" s="428">
        <f t="shared" si="101"/>
        <v>3.2558139534883734E-2</v>
      </c>
      <c r="AC60" s="428"/>
      <c r="AD60" s="428">
        <f t="shared" si="101"/>
        <v>2.7546349808127979E-2</v>
      </c>
      <c r="AE60" s="428">
        <f t="shared" si="101"/>
        <v>3.0952380952380953E-2</v>
      </c>
      <c r="AF60" s="428"/>
      <c r="AG60" s="428">
        <f t="shared" si="101"/>
        <v>1.3517987199293757E-2</v>
      </c>
      <c r="AH60" s="428">
        <f t="shared" si="101"/>
        <v>1.4869888475836479E-2</v>
      </c>
      <c r="AI60" s="428"/>
      <c r="AJ60" s="428">
        <f t="shared" si="101"/>
        <v>3.6297393055906624E-2</v>
      </c>
      <c r="AK60" s="428">
        <f t="shared" si="101"/>
        <v>3.5211267605633811E-2</v>
      </c>
      <c r="AL60" s="428"/>
      <c r="AM60" s="428">
        <f t="shared" si="101"/>
        <v>2.441491070472479E-2</v>
      </c>
      <c r="AN60" s="428">
        <f t="shared" si="101"/>
        <v>2.4200518582541131E-2</v>
      </c>
      <c r="AO60" s="540"/>
      <c r="AP60" s="503">
        <f t="shared" si="94"/>
        <v>2.861877275241783E-2</v>
      </c>
      <c r="AQ60" s="503">
        <f t="shared" si="95"/>
        <v>2.9566063041372052E-2</v>
      </c>
      <c r="AR60" s="503"/>
    </row>
    <row r="61" spans="1:47" outlineLevel="1" x14ac:dyDescent="0.25">
      <c r="A61" s="445">
        <v>8</v>
      </c>
      <c r="B61" s="426">
        <f t="shared" ref="B61:AN61" si="102">B37-B36</f>
        <v>4.0083406848985481E-2</v>
      </c>
      <c r="C61" s="426">
        <f t="shared" si="102"/>
        <v>3.4582132564841495E-2</v>
      </c>
      <c r="D61" s="544"/>
      <c r="E61" s="427"/>
      <c r="F61" s="427"/>
      <c r="G61" s="427"/>
      <c r="H61" s="427"/>
      <c r="I61" s="426">
        <f t="shared" si="102"/>
        <v>1.851190092618088E-2</v>
      </c>
      <c r="J61" s="426">
        <f t="shared" si="102"/>
        <v>1.7195767195767153E-2</v>
      </c>
      <c r="K61" s="544"/>
      <c r="L61" s="426">
        <f t="shared" si="102"/>
        <v>2.2749688748039509E-2</v>
      </c>
      <c r="M61" s="426">
        <f t="shared" si="102"/>
        <v>2.5835866261398166E-2</v>
      </c>
      <c r="N61" s="426"/>
      <c r="O61" s="426">
        <f t="shared" si="102"/>
        <v>3.9370603727039377E-2</v>
      </c>
      <c r="P61" s="426">
        <f t="shared" si="102"/>
        <v>3.4205231388329982E-2</v>
      </c>
      <c r="Q61" s="426"/>
      <c r="R61" s="426">
        <f t="shared" si="102"/>
        <v>2.8681136202980628E-2</v>
      </c>
      <c r="S61" s="426">
        <f t="shared" si="102"/>
        <v>2.4038461538461564E-2</v>
      </c>
      <c r="T61" s="426"/>
      <c r="U61" s="426">
        <f t="shared" si="102"/>
        <v>4.7033727948538717E-2</v>
      </c>
      <c r="V61" s="426">
        <f t="shared" si="102"/>
        <v>5.0060313630880593E-2</v>
      </c>
      <c r="W61" s="426"/>
      <c r="X61" s="426">
        <f t="shared" si="102"/>
        <v>1.4419046796007362E-2</v>
      </c>
      <c r="Y61" s="426">
        <f t="shared" si="102"/>
        <v>1.6410256410256396E-2</v>
      </c>
      <c r="Z61" s="426"/>
      <c r="AA61" s="426">
        <f t="shared" si="102"/>
        <v>3.8770599324142341E-2</v>
      </c>
      <c r="AB61" s="426">
        <f t="shared" si="102"/>
        <v>3.8759689922480578E-2</v>
      </c>
      <c r="AC61" s="426"/>
      <c r="AD61" s="426">
        <f t="shared" si="102"/>
        <v>2.5903493766085695E-2</v>
      </c>
      <c r="AE61" s="426">
        <f t="shared" si="102"/>
        <v>2.4404761904761929E-2</v>
      </c>
      <c r="AF61" s="426"/>
      <c r="AG61" s="426">
        <f t="shared" si="102"/>
        <v>2.6070403884352278E-2</v>
      </c>
      <c r="AH61" s="426">
        <f t="shared" si="102"/>
        <v>2.6022304832713727E-2</v>
      </c>
      <c r="AI61" s="426"/>
      <c r="AJ61" s="426">
        <f t="shared" si="102"/>
        <v>3.4604103218454474E-2</v>
      </c>
      <c r="AK61" s="426">
        <f t="shared" si="102"/>
        <v>3.6091549295774628E-2</v>
      </c>
      <c r="AL61" s="426"/>
      <c r="AM61" s="426">
        <f t="shared" si="102"/>
        <v>2.0976358466096356E-2</v>
      </c>
      <c r="AN61" s="426">
        <f t="shared" si="102"/>
        <v>2.2471910112359494E-2</v>
      </c>
      <c r="AO61" s="555"/>
      <c r="AP61" s="503">
        <f t="shared" si="94"/>
        <v>3.0563464671891524E-2</v>
      </c>
      <c r="AQ61" s="503">
        <f t="shared" si="95"/>
        <v>2.9782394085969655E-2</v>
      </c>
      <c r="AR61" s="503"/>
    </row>
    <row r="62" spans="1:47" outlineLevel="1" x14ac:dyDescent="0.25">
      <c r="A62" s="444">
        <v>9</v>
      </c>
      <c r="B62" s="428">
        <f t="shared" ref="B62:AN62" si="103">B38-B37</f>
        <v>1.9071296816103978E-2</v>
      </c>
      <c r="C62" s="428">
        <f t="shared" si="103"/>
        <v>1.7291066282420775E-2</v>
      </c>
      <c r="D62" s="543"/>
      <c r="E62" s="427"/>
      <c r="F62" s="427"/>
      <c r="G62" s="427"/>
      <c r="H62" s="427"/>
      <c r="I62" s="428">
        <f t="shared" si="103"/>
        <v>2.2343161434320802E-2</v>
      </c>
      <c r="J62" s="428">
        <f t="shared" si="103"/>
        <v>2.777777777777779E-2</v>
      </c>
      <c r="K62" s="543"/>
      <c r="L62" s="428">
        <f t="shared" si="103"/>
        <v>3.6420521609778933E-2</v>
      </c>
      <c r="M62" s="428">
        <f t="shared" si="103"/>
        <v>3.7993920972644368E-2</v>
      </c>
      <c r="N62" s="428"/>
      <c r="O62" s="428">
        <f t="shared" si="103"/>
        <v>2.4502450245024565E-2</v>
      </c>
      <c r="P62" s="428">
        <f t="shared" si="103"/>
        <v>2.8169014084507005E-2</v>
      </c>
      <c r="Q62" s="428"/>
      <c r="R62" s="428">
        <f t="shared" si="103"/>
        <v>1.8772194732241121E-2</v>
      </c>
      <c r="S62" s="428">
        <f t="shared" si="103"/>
        <v>1.6826923076923017E-2</v>
      </c>
      <c r="T62" s="428"/>
      <c r="U62" s="428">
        <f t="shared" si="103"/>
        <v>3.1092912547022233E-2</v>
      </c>
      <c r="V62" s="428">
        <f t="shared" si="103"/>
        <v>3.5585042219541563E-2</v>
      </c>
      <c r="W62" s="428"/>
      <c r="X62" s="428">
        <f t="shared" si="103"/>
        <v>1.3675841507151287E-2</v>
      </c>
      <c r="Y62" s="428">
        <f t="shared" si="103"/>
        <v>1.2307692307692353E-2</v>
      </c>
      <c r="Z62" s="428"/>
      <c r="AA62" s="428">
        <f t="shared" si="103"/>
        <v>5.1966328737848955E-2</v>
      </c>
      <c r="AB62" s="428">
        <f t="shared" si="103"/>
        <v>5.7364341085271386E-2</v>
      </c>
      <c r="AC62" s="428"/>
      <c r="AD62" s="428">
        <f t="shared" si="103"/>
        <v>2.6902152973631077E-2</v>
      </c>
      <c r="AE62" s="428">
        <f t="shared" si="103"/>
        <v>2.7380952380952395E-2</v>
      </c>
      <c r="AF62" s="428"/>
      <c r="AG62" s="428">
        <f t="shared" si="103"/>
        <v>8.5521959832266514E-3</v>
      </c>
      <c r="AH62" s="428">
        <f t="shared" si="103"/>
        <v>1.4869888475836424E-2</v>
      </c>
      <c r="AI62" s="428"/>
      <c r="AJ62" s="428">
        <f t="shared" si="103"/>
        <v>4.0430304270541173E-2</v>
      </c>
      <c r="AK62" s="428">
        <f t="shared" si="103"/>
        <v>4.2253521126760563E-2</v>
      </c>
      <c r="AL62" s="428"/>
      <c r="AM62" s="428">
        <f t="shared" si="103"/>
        <v>1.5467536021511741E-2</v>
      </c>
      <c r="AN62" s="428">
        <f t="shared" si="103"/>
        <v>1.5557476231633505E-2</v>
      </c>
      <c r="AO62" s="540"/>
      <c r="AP62" s="503">
        <f t="shared" si="94"/>
        <v>2.6702669168808254E-2</v>
      </c>
      <c r="AQ62" s="503">
        <f t="shared" si="95"/>
        <v>2.8892739980938876E-2</v>
      </c>
      <c r="AR62" s="503"/>
    </row>
    <row r="63" spans="1:47" outlineLevel="1" x14ac:dyDescent="0.25">
      <c r="A63" s="445">
        <v>10</v>
      </c>
      <c r="B63" s="426">
        <f t="shared" ref="B63:AN63" si="104">B39-B38</f>
        <v>5.9651936803272132E-2</v>
      </c>
      <c r="C63" s="426">
        <f t="shared" si="104"/>
        <v>5.4755043227665667E-2</v>
      </c>
      <c r="D63" s="544"/>
      <c r="E63" s="427"/>
      <c r="F63" s="427"/>
      <c r="G63" s="427"/>
      <c r="H63" s="427"/>
      <c r="I63" s="426">
        <f t="shared" si="104"/>
        <v>2.7709269424315064E-2</v>
      </c>
      <c r="J63" s="426">
        <f t="shared" si="104"/>
        <v>2.777777777777779E-2</v>
      </c>
      <c r="K63" s="544"/>
      <c r="L63" s="426">
        <f t="shared" si="104"/>
        <v>2.7082962795285215E-2</v>
      </c>
      <c r="M63" s="426">
        <f t="shared" si="104"/>
        <v>2.8875379939209744E-2</v>
      </c>
      <c r="N63" s="426"/>
      <c r="O63" s="426">
        <f t="shared" si="104"/>
        <v>3.2025424764698607E-2</v>
      </c>
      <c r="P63" s="426">
        <f t="shared" si="104"/>
        <v>3.0181086519114775E-2</v>
      </c>
      <c r="Q63" s="426"/>
      <c r="R63" s="426">
        <f t="shared" si="104"/>
        <v>1.9039890913805979E-2</v>
      </c>
      <c r="S63" s="426">
        <f t="shared" si="104"/>
        <v>1.6826923076923128E-2</v>
      </c>
      <c r="T63" s="426"/>
      <c r="U63" s="426">
        <f t="shared" si="104"/>
        <v>2.2731986878596289E-2</v>
      </c>
      <c r="V63" s="426">
        <f t="shared" si="104"/>
        <v>2.5331724969843261E-2</v>
      </c>
      <c r="W63" s="426"/>
      <c r="X63" s="426">
        <f t="shared" si="104"/>
        <v>1.5123363436028159E-2</v>
      </c>
      <c r="Y63" s="426">
        <f t="shared" si="104"/>
        <v>1.4358974358974375E-2</v>
      </c>
      <c r="Z63" s="426"/>
      <c r="AA63" s="426">
        <f t="shared" si="104"/>
        <v>1.8625176999991222E-2</v>
      </c>
      <c r="AB63" s="426">
        <f t="shared" si="104"/>
        <v>1.8604651162790642E-2</v>
      </c>
      <c r="AC63" s="426"/>
      <c r="AD63" s="426">
        <f t="shared" si="104"/>
        <v>2.1579052814893585E-2</v>
      </c>
      <c r="AE63" s="426">
        <f t="shared" si="104"/>
        <v>1.9642857142857073E-2</v>
      </c>
      <c r="AF63" s="426"/>
      <c r="AG63" s="426">
        <f t="shared" si="104"/>
        <v>1.5118075480026416E-2</v>
      </c>
      <c r="AH63" s="426">
        <f t="shared" si="104"/>
        <v>1.8587360594795599E-2</v>
      </c>
      <c r="AI63" s="426"/>
      <c r="AJ63" s="426">
        <f t="shared" si="104"/>
        <v>3.0166239331672118E-2</v>
      </c>
      <c r="AK63" s="426">
        <f t="shared" si="104"/>
        <v>3.5211267605633811E-2</v>
      </c>
      <c r="AL63" s="426"/>
      <c r="AM63" s="426">
        <f t="shared" si="104"/>
        <v>2.4057967565766725E-2</v>
      </c>
      <c r="AN63" s="426">
        <f t="shared" si="104"/>
        <v>1.9014693171996555E-2</v>
      </c>
      <c r="AO63" s="555"/>
      <c r="AP63" s="503">
        <f t="shared" si="94"/>
        <v>2.6259398149325888E-2</v>
      </c>
      <c r="AQ63" s="503">
        <f t="shared" si="95"/>
        <v>2.6377549670507806E-2</v>
      </c>
      <c r="AR63" s="503"/>
    </row>
    <row r="64" spans="1:47" outlineLevel="1" x14ac:dyDescent="0.25">
      <c r="A64" s="444">
        <v>11</v>
      </c>
      <c r="B64" s="428">
        <f t="shared" ref="B64:AN64" si="105">B40-B39</f>
        <v>4.9979950276686114E-2</v>
      </c>
      <c r="C64" s="428">
        <f t="shared" si="105"/>
        <v>4.8991354466858816E-2</v>
      </c>
      <c r="D64" s="543"/>
      <c r="E64" s="427"/>
      <c r="F64" s="427"/>
      <c r="G64" s="427"/>
      <c r="H64" s="427"/>
      <c r="I64" s="428">
        <f t="shared" si="105"/>
        <v>1.0163970919912557E-2</v>
      </c>
      <c r="J64" s="428">
        <f t="shared" si="105"/>
        <v>7.9365079365079083E-3</v>
      </c>
      <c r="K64" s="543"/>
      <c r="L64" s="428">
        <f t="shared" si="105"/>
        <v>2.4398919915274764E-2</v>
      </c>
      <c r="M64" s="428">
        <f t="shared" si="105"/>
        <v>2.5835866261398222E-2</v>
      </c>
      <c r="N64" s="428"/>
      <c r="O64" s="428">
        <f t="shared" si="105"/>
        <v>1.5901590159015933E-2</v>
      </c>
      <c r="P64" s="428">
        <f t="shared" si="105"/>
        <v>1.8108651911468709E-2</v>
      </c>
      <c r="Q64" s="428"/>
      <c r="R64" s="428">
        <f t="shared" si="105"/>
        <v>1.3430819359453228E-2</v>
      </c>
      <c r="S64" s="428">
        <f t="shared" si="105"/>
        <v>1.3822115384615419E-2</v>
      </c>
      <c r="T64" s="428"/>
      <c r="U64" s="428">
        <f t="shared" si="105"/>
        <v>2.2834417820935315E-2</v>
      </c>
      <c r="V64" s="428">
        <f t="shared" si="105"/>
        <v>2.533172496984315E-2</v>
      </c>
      <c r="W64" s="428"/>
      <c r="X64" s="428">
        <f t="shared" si="105"/>
        <v>1.2768439700989509E-2</v>
      </c>
      <c r="Y64" s="428">
        <f t="shared" si="105"/>
        <v>1.7435897435897352E-2</v>
      </c>
      <c r="Z64" s="428"/>
      <c r="AA64" s="428">
        <f t="shared" si="105"/>
        <v>9.5471406357232613E-3</v>
      </c>
      <c r="AB64" s="428">
        <f t="shared" si="105"/>
        <v>1.3953488372092981E-2</v>
      </c>
      <c r="AC64" s="428"/>
      <c r="AD64" s="428">
        <f t="shared" si="105"/>
        <v>1.8170049470618177E-2</v>
      </c>
      <c r="AE64" s="428">
        <f t="shared" si="105"/>
        <v>1.8452380952380998E-2</v>
      </c>
      <c r="AF64" s="428"/>
      <c r="AG64" s="428">
        <f t="shared" si="105"/>
        <v>2.7918781725888353E-2</v>
      </c>
      <c r="AH64" s="428">
        <f t="shared" si="105"/>
        <v>2.6022304832713727E-2</v>
      </c>
      <c r="AI64" s="428"/>
      <c r="AJ64" s="428">
        <f t="shared" si="105"/>
        <v>2.6827810078685788E-2</v>
      </c>
      <c r="AK64" s="428">
        <f t="shared" si="105"/>
        <v>2.8169014084507005E-2</v>
      </c>
      <c r="AL64" s="428"/>
      <c r="AM64" s="428">
        <f t="shared" si="105"/>
        <v>2.1952003045914825E-2</v>
      </c>
      <c r="AN64" s="428">
        <f t="shared" si="105"/>
        <v>2.2471910112359605E-2</v>
      </c>
      <c r="AO64" s="540"/>
      <c r="AP64" s="503">
        <f t="shared" si="94"/>
        <v>2.1085626369380273E-2</v>
      </c>
      <c r="AQ64" s="503">
        <f t="shared" si="95"/>
        <v>2.218720969166221E-2</v>
      </c>
      <c r="AR64" s="503"/>
    </row>
    <row r="65" spans="1:44" outlineLevel="1" x14ac:dyDescent="0.25">
      <c r="A65" s="445">
        <v>12</v>
      </c>
      <c r="B65" s="426">
        <f t="shared" ref="B65:AN65" si="106">B41-B40</f>
        <v>3.6618814660357768E-2</v>
      </c>
      <c r="C65" s="426">
        <f t="shared" si="106"/>
        <v>4.3227665706051854E-2</v>
      </c>
      <c r="D65" s="544"/>
      <c r="E65" s="427"/>
      <c r="F65" s="427"/>
      <c r="G65" s="427"/>
      <c r="H65" s="427"/>
      <c r="I65" s="426">
        <f t="shared" si="106"/>
        <v>1.8113543564478307E-2</v>
      </c>
      <c r="J65" s="426">
        <f t="shared" si="106"/>
        <v>1.9841269841269882E-2</v>
      </c>
      <c r="K65" s="544"/>
      <c r="L65" s="426">
        <f t="shared" si="106"/>
        <v>1.3080666806797425E-2</v>
      </c>
      <c r="M65" s="426">
        <f t="shared" si="106"/>
        <v>1.3677811550151908E-2</v>
      </c>
      <c r="N65" s="426"/>
      <c r="O65" s="426">
        <f t="shared" si="106"/>
        <v>4.3715482659377081E-2</v>
      </c>
      <c r="P65" s="426">
        <f t="shared" si="106"/>
        <v>4.0241448692152959E-2</v>
      </c>
      <c r="Q65" s="426"/>
      <c r="R65" s="426">
        <f t="shared" si="106"/>
        <v>1.4116790824713399E-2</v>
      </c>
      <c r="S65" s="426">
        <f t="shared" si="106"/>
        <v>1.5625E-2</v>
      </c>
      <c r="T65" s="426"/>
      <c r="U65" s="426">
        <f t="shared" si="106"/>
        <v>2.322621617538223E-2</v>
      </c>
      <c r="V65" s="426">
        <f t="shared" si="106"/>
        <v>2.4728588661037443E-2</v>
      </c>
      <c r="W65" s="426"/>
      <c r="X65" s="426">
        <f t="shared" si="106"/>
        <v>1.463509484509351E-2</v>
      </c>
      <c r="Y65" s="426">
        <f t="shared" si="106"/>
        <v>1.6410256410256396E-2</v>
      </c>
      <c r="Z65" s="426"/>
      <c r="AA65" s="426">
        <f t="shared" si="106"/>
        <v>2.0736146221538743E-2</v>
      </c>
      <c r="AB65" s="426">
        <f t="shared" si="106"/>
        <v>2.4806201550387597E-2</v>
      </c>
      <c r="AC65" s="426"/>
      <c r="AD65" s="426">
        <f t="shared" si="106"/>
        <v>1.7837163068103012E-2</v>
      </c>
      <c r="AE65" s="426">
        <f t="shared" si="106"/>
        <v>1.9642857142857184E-2</v>
      </c>
      <c r="AF65" s="426"/>
      <c r="AG65" s="426">
        <f t="shared" si="106"/>
        <v>2.9022290885014401E-2</v>
      </c>
      <c r="AH65" s="426">
        <f t="shared" si="106"/>
        <v>1.4869888475836368E-2</v>
      </c>
      <c r="AI65" s="426"/>
      <c r="AJ65" s="426">
        <f t="shared" si="106"/>
        <v>2.6944173598321242E-2</v>
      </c>
      <c r="AK65" s="426">
        <f t="shared" si="106"/>
        <v>2.464788732394374E-2</v>
      </c>
      <c r="AL65" s="426"/>
      <c r="AM65" s="426">
        <f t="shared" si="106"/>
        <v>1.7978036098849404E-2</v>
      </c>
      <c r="AN65" s="426">
        <f t="shared" si="106"/>
        <v>1.9014693171996555E-2</v>
      </c>
      <c r="AO65" s="555"/>
      <c r="AP65" s="503">
        <f t="shared" si="94"/>
        <v>2.34587621190161E-2</v>
      </c>
      <c r="AQ65" s="503">
        <f t="shared" si="95"/>
        <v>2.3428988668540485E-2</v>
      </c>
      <c r="AR65" s="503"/>
    </row>
    <row r="66" spans="1:44" outlineLevel="1" x14ac:dyDescent="0.25">
      <c r="A66" s="444">
        <v>13</v>
      </c>
      <c r="B66" s="428">
        <f t="shared" ref="B66:AN66" si="107">B42-B41</f>
        <v>1.1516561071457154E-2</v>
      </c>
      <c r="C66" s="428">
        <f t="shared" si="107"/>
        <v>1.1527377521613813E-2</v>
      </c>
      <c r="D66" s="543"/>
      <c r="E66" s="427"/>
      <c r="F66" s="427"/>
      <c r="G66" s="427"/>
      <c r="H66" s="427"/>
      <c r="I66" s="428">
        <f t="shared" si="107"/>
        <v>1.7035635409282879E-2</v>
      </c>
      <c r="J66" s="428">
        <f t="shared" si="107"/>
        <v>1.9841269841269826E-2</v>
      </c>
      <c r="K66" s="543"/>
      <c r="L66" s="428">
        <f t="shared" si="107"/>
        <v>2.2579914951412317E-2</v>
      </c>
      <c r="M66" s="428">
        <f t="shared" si="107"/>
        <v>2.2796352583586588E-2</v>
      </c>
      <c r="N66" s="428"/>
      <c r="O66" s="428">
        <f t="shared" si="107"/>
        <v>1.5190407929681848E-2</v>
      </c>
      <c r="P66" s="428">
        <f t="shared" si="107"/>
        <v>1.6096579476861161E-2</v>
      </c>
      <c r="Q66" s="428"/>
      <c r="R66" s="428">
        <f t="shared" si="107"/>
        <v>1.1109391534944835E-2</v>
      </c>
      <c r="S66" s="428">
        <f t="shared" si="107"/>
        <v>9.6153846153845812E-3</v>
      </c>
      <c r="T66" s="428"/>
      <c r="U66" s="428">
        <f t="shared" si="107"/>
        <v>2.0068782377780758E-2</v>
      </c>
      <c r="V66" s="428">
        <f t="shared" si="107"/>
        <v>2.1109770808202644E-2</v>
      </c>
      <c r="W66" s="428"/>
      <c r="X66" s="428">
        <f t="shared" si="107"/>
        <v>2.8894266084777298E-2</v>
      </c>
      <c r="Y66" s="428">
        <f t="shared" si="107"/>
        <v>2.6666666666666727E-2</v>
      </c>
      <c r="Z66" s="428"/>
      <c r="AA66" s="428">
        <f t="shared" si="107"/>
        <v>1.9059532806894097E-2</v>
      </c>
      <c r="AB66" s="428">
        <f t="shared" si="107"/>
        <v>2.170542635658923E-2</v>
      </c>
      <c r="AC66" s="428"/>
      <c r="AD66" s="428">
        <f t="shared" si="107"/>
        <v>1.2433923590241425E-2</v>
      </c>
      <c r="AE66" s="428">
        <f t="shared" si="107"/>
        <v>1.3095238095238049E-2</v>
      </c>
      <c r="AF66" s="428"/>
      <c r="AG66" s="428">
        <f t="shared" si="107"/>
        <v>5.931361730302287E-3</v>
      </c>
      <c r="AH66" s="428">
        <f t="shared" si="107"/>
        <v>3.7174721189591198E-3</v>
      </c>
      <c r="AI66" s="428"/>
      <c r="AJ66" s="428">
        <f t="shared" si="107"/>
        <v>2.3521481106978159E-2</v>
      </c>
      <c r="AK66" s="428">
        <f t="shared" si="107"/>
        <v>2.8169014084507005E-2</v>
      </c>
      <c r="AL66" s="428"/>
      <c r="AM66" s="428">
        <f t="shared" si="107"/>
        <v>9.9944078908230649E-3</v>
      </c>
      <c r="AN66" s="428">
        <f t="shared" si="107"/>
        <v>1.2100259291270454E-2</v>
      </c>
      <c r="AO66" s="540"/>
      <c r="AP66" s="503">
        <f t="shared" si="94"/>
        <v>1.7031023508523004E-2</v>
      </c>
      <c r="AQ66" s="503">
        <f t="shared" si="95"/>
        <v>1.7667322924443521E-2</v>
      </c>
      <c r="AR66" s="503"/>
    </row>
    <row r="67" spans="1:44" outlineLevel="1" x14ac:dyDescent="0.25">
      <c r="A67" s="445">
        <v>14</v>
      </c>
      <c r="B67" s="426">
        <f t="shared" ref="B67:AN67" si="108">B43-B42</f>
        <v>1.342529473093268E-2</v>
      </c>
      <c r="C67" s="426">
        <f t="shared" si="108"/>
        <v>2.3054755043227737E-2</v>
      </c>
      <c r="D67" s="544"/>
      <c r="E67" s="427"/>
      <c r="F67" s="427"/>
      <c r="G67" s="427"/>
      <c r="H67" s="427"/>
      <c r="I67" s="426">
        <f t="shared" si="108"/>
        <v>2.3708121217801859E-2</v>
      </c>
      <c r="J67" s="426">
        <f t="shared" si="108"/>
        <v>2.2486772486772444E-2</v>
      </c>
      <c r="K67" s="544"/>
      <c r="L67" s="426">
        <f t="shared" si="108"/>
        <v>1.0768509386065661E-2</v>
      </c>
      <c r="M67" s="426">
        <f t="shared" si="108"/>
        <v>1.0638297872340496E-2</v>
      </c>
      <c r="N67" s="426"/>
      <c r="O67" s="426">
        <f t="shared" si="108"/>
        <v>2.3035636897023037E-2</v>
      </c>
      <c r="P67" s="426">
        <f t="shared" si="108"/>
        <v>2.2132796780684139E-2</v>
      </c>
      <c r="Q67" s="426"/>
      <c r="R67" s="426">
        <f t="shared" si="108"/>
        <v>1.7538282645340186E-2</v>
      </c>
      <c r="S67" s="426">
        <f t="shared" si="108"/>
        <v>1.6225961538461564E-2</v>
      </c>
      <c r="T67" s="426"/>
      <c r="U67" s="426">
        <f t="shared" si="108"/>
        <v>2.8398978763504834E-2</v>
      </c>
      <c r="V67" s="426">
        <f t="shared" si="108"/>
        <v>2.9553679131483657E-2</v>
      </c>
      <c r="W67" s="426"/>
      <c r="X67" s="426">
        <f t="shared" si="108"/>
        <v>2.6945512682020389E-2</v>
      </c>
      <c r="Y67" s="426">
        <f t="shared" si="108"/>
        <v>2.6666666666666616E-2</v>
      </c>
      <c r="Z67" s="426"/>
      <c r="AA67" s="426">
        <f t="shared" si="108"/>
        <v>2.9188710223867043E-2</v>
      </c>
      <c r="AB67" s="426">
        <f t="shared" si="108"/>
        <v>3.100775193798444E-2</v>
      </c>
      <c r="AC67" s="426"/>
      <c r="AD67" s="426">
        <f t="shared" si="108"/>
        <v>2.4377764421224635E-2</v>
      </c>
      <c r="AE67" s="426">
        <f t="shared" si="108"/>
        <v>2.8571428571428581E-2</v>
      </c>
      <c r="AF67" s="426"/>
      <c r="AG67" s="426">
        <f t="shared" si="108"/>
        <v>1.702162877951896E-2</v>
      </c>
      <c r="AH67" s="426">
        <f t="shared" si="108"/>
        <v>1.4869888475836479E-2</v>
      </c>
      <c r="AI67" s="426"/>
      <c r="AJ67" s="426">
        <f t="shared" si="108"/>
        <v>3.5775763485127565E-2</v>
      </c>
      <c r="AK67" s="426">
        <f t="shared" si="108"/>
        <v>3.5211267605633756E-2</v>
      </c>
      <c r="AL67" s="426"/>
      <c r="AM67" s="426">
        <f t="shared" si="108"/>
        <v>1.4408604709269746E-2</v>
      </c>
      <c r="AN67" s="426">
        <f t="shared" si="108"/>
        <v>1.4693171996542853E-2</v>
      </c>
      <c r="AO67" s="555"/>
      <c r="AP67" s="503">
        <f t="shared" si="94"/>
        <v>2.2744018475675167E-2</v>
      </c>
      <c r="AQ67" s="503">
        <f t="shared" si="95"/>
        <v>2.3674478737319992E-2</v>
      </c>
      <c r="AR67" s="503"/>
    </row>
    <row r="68" spans="1:44" outlineLevel="1" x14ac:dyDescent="0.25">
      <c r="A68" s="444">
        <v>15</v>
      </c>
      <c r="B68" s="428">
        <f t="shared" ref="B68:AN68" si="109">B44-B43</f>
        <v>2.9833988290961622E-2</v>
      </c>
      <c r="C68" s="428">
        <f t="shared" si="109"/>
        <v>2.5936599423631135E-2</v>
      </c>
      <c r="D68" s="543"/>
      <c r="E68" s="427"/>
      <c r="F68" s="427"/>
      <c r="G68" s="427"/>
      <c r="H68" s="427"/>
      <c r="I68" s="428">
        <f t="shared" si="109"/>
        <v>2.552416213144626E-2</v>
      </c>
      <c r="J68" s="428">
        <f t="shared" si="109"/>
        <v>2.5132275132275228E-2</v>
      </c>
      <c r="K68" s="543"/>
      <c r="L68" s="428">
        <f t="shared" si="109"/>
        <v>1.2975568742218613E-2</v>
      </c>
      <c r="M68" s="428">
        <f t="shared" si="109"/>
        <v>1.5197568389057725E-2</v>
      </c>
      <c r="N68" s="428"/>
      <c r="O68" s="428">
        <f t="shared" si="109"/>
        <v>1.6623884610683315E-2</v>
      </c>
      <c r="P68" s="428">
        <f t="shared" si="109"/>
        <v>1.4084507042253502E-2</v>
      </c>
      <c r="Q68" s="428"/>
      <c r="R68" s="428">
        <f t="shared" si="109"/>
        <v>4.8703974033470376E-2</v>
      </c>
      <c r="S68" s="428">
        <f t="shared" si="109"/>
        <v>4.8677884615384581E-2</v>
      </c>
      <c r="T68" s="428"/>
      <c r="U68" s="428">
        <f t="shared" si="109"/>
        <v>2.1021390141533924E-2</v>
      </c>
      <c r="V68" s="428">
        <f t="shared" si="109"/>
        <v>2.1712907117008462E-2</v>
      </c>
      <c r="W68" s="428"/>
      <c r="X68" s="428">
        <f t="shared" si="109"/>
        <v>3.9631854124357324E-2</v>
      </c>
      <c r="Y68" s="428">
        <f t="shared" si="109"/>
        <v>4.1025641025641102E-2</v>
      </c>
      <c r="Z68" s="428"/>
      <c r="AA68" s="428">
        <f t="shared" si="109"/>
        <v>3.077845247713118E-2</v>
      </c>
      <c r="AB68" s="428">
        <f t="shared" si="109"/>
        <v>3.1007751937984551E-2</v>
      </c>
      <c r="AC68" s="428"/>
      <c r="AD68" s="428">
        <f t="shared" si="109"/>
        <v>3.1063233005070301E-2</v>
      </c>
      <c r="AE68" s="428">
        <f t="shared" si="109"/>
        <v>2.9761904761904767E-2</v>
      </c>
      <c r="AF68" s="428"/>
      <c r="AG68" s="428">
        <f t="shared" si="109"/>
        <v>3.0263738689031094E-2</v>
      </c>
      <c r="AH68" s="428">
        <f t="shared" si="109"/>
        <v>1.8587360594795488E-2</v>
      </c>
      <c r="AI68" s="428"/>
      <c r="AJ68" s="428">
        <f t="shared" si="109"/>
        <v>4.4013498168277709E-2</v>
      </c>
      <c r="AK68" s="428">
        <f t="shared" si="109"/>
        <v>2.7288732394366244E-2</v>
      </c>
      <c r="AL68" s="428"/>
      <c r="AM68" s="428">
        <f t="shared" si="109"/>
        <v>1.5443739812247892E-2</v>
      </c>
      <c r="AN68" s="428">
        <f t="shared" si="109"/>
        <v>1.6421780466724267E-2</v>
      </c>
      <c r="AO68" s="540"/>
      <c r="AP68" s="503">
        <f t="shared" si="94"/>
        <v>3.0039431310380157E-2</v>
      </c>
      <c r="AQ68" s="503">
        <f t="shared" si="95"/>
        <v>2.7128466584936617E-2</v>
      </c>
      <c r="AR68" s="503"/>
    </row>
    <row r="69" spans="1:44" ht="15.75" outlineLevel="1" thickBot="1" x14ac:dyDescent="0.3">
      <c r="A69" s="445">
        <v>16</v>
      </c>
      <c r="B69" s="426">
        <f t="shared" ref="B69:AN69" si="110">B45-B44</f>
        <v>3.0090624749378514E-2</v>
      </c>
      <c r="C69" s="426">
        <f t="shared" si="110"/>
        <v>2.8818443804034533E-2</v>
      </c>
      <c r="D69" s="544"/>
      <c r="E69" s="427"/>
      <c r="F69" s="427"/>
      <c r="G69" s="427"/>
      <c r="H69" s="427"/>
      <c r="I69" s="426">
        <f t="shared" si="110"/>
        <v>3.50671642228223E-2</v>
      </c>
      <c r="J69" s="426">
        <f t="shared" si="110"/>
        <v>3.0423280423280352E-2</v>
      </c>
      <c r="K69" s="544"/>
      <c r="L69" s="426">
        <f t="shared" si="110"/>
        <v>2.4520186912865727E-2</v>
      </c>
      <c r="M69" s="426">
        <f t="shared" si="110"/>
        <v>2.5835866261398222E-2</v>
      </c>
      <c r="N69" s="426"/>
      <c r="O69" s="426">
        <f t="shared" si="110"/>
        <v>2.9869653632029869E-2</v>
      </c>
      <c r="P69" s="426">
        <f t="shared" si="110"/>
        <v>2.4144869215291798E-2</v>
      </c>
      <c r="Q69" s="426"/>
      <c r="R69" s="426">
        <f t="shared" si="110"/>
        <v>2.0876119409227956E-2</v>
      </c>
      <c r="S69" s="426">
        <f t="shared" si="110"/>
        <v>2.2235576923076872E-2</v>
      </c>
      <c r="T69" s="426"/>
      <c r="U69" s="426">
        <f t="shared" si="110"/>
        <v>2.2191663657757821E-2</v>
      </c>
      <c r="V69" s="426">
        <f t="shared" si="110"/>
        <v>2.2919179734619988E-2</v>
      </c>
      <c r="W69" s="426"/>
      <c r="X69" s="426">
        <f t="shared" si="110"/>
        <v>3.8581860605798712E-2</v>
      </c>
      <c r="Y69" s="426">
        <f t="shared" si="110"/>
        <v>3.9999999999999925E-2</v>
      </c>
      <c r="Z69" s="426"/>
      <c r="AA69" s="426">
        <f t="shared" si="110"/>
        <v>3.0205102812019491E-2</v>
      </c>
      <c r="AB69" s="426">
        <f t="shared" si="110"/>
        <v>3.5658914728682101E-2</v>
      </c>
      <c r="AC69" s="426"/>
      <c r="AD69" s="426">
        <f t="shared" si="110"/>
        <v>2.6082266093362394E-2</v>
      </c>
      <c r="AE69" s="426">
        <f t="shared" si="110"/>
        <v>2.6190476190476208E-2</v>
      </c>
      <c r="AF69" s="426"/>
      <c r="AG69" s="426">
        <f t="shared" si="110"/>
        <v>2.7035974398587515E-2</v>
      </c>
      <c r="AH69" s="426">
        <f t="shared" si="110"/>
        <v>2.9739776951672847E-2</v>
      </c>
      <c r="AI69" s="426"/>
      <c r="AJ69" s="426">
        <f t="shared" si="110"/>
        <v>2.9187180752671349E-2</v>
      </c>
      <c r="AK69" s="426">
        <f t="shared" si="110"/>
        <v>2.7288732394366244E-2</v>
      </c>
      <c r="AL69" s="426"/>
      <c r="AM69" s="426">
        <f t="shared" si="110"/>
        <v>1.1874308422668345E-2</v>
      </c>
      <c r="AN69" s="426">
        <f t="shared" si="110"/>
        <v>9.5073465859982775E-3</v>
      </c>
      <c r="AO69" s="555"/>
      <c r="AP69" s="503">
        <f t="shared" si="94"/>
        <v>2.8518890658774696E-2</v>
      </c>
      <c r="AQ69" s="503">
        <f t="shared" si="95"/>
        <v>2.8477737875172646E-2</v>
      </c>
      <c r="AR69" s="503"/>
    </row>
    <row r="70" spans="1:44" ht="15.75" outlineLevel="1" thickBot="1" x14ac:dyDescent="0.3">
      <c r="A70" s="444">
        <v>17</v>
      </c>
      <c r="B70" s="429">
        <f t="shared" ref="B70:AN70" si="111">B46-B45</f>
        <v>2.8262089983158156E-2</v>
      </c>
      <c r="C70" s="429">
        <f t="shared" si="111"/>
        <v>2.5936599423631135E-2</v>
      </c>
      <c r="D70" s="549"/>
      <c r="E70" s="427"/>
      <c r="F70" s="427"/>
      <c r="G70" s="427"/>
      <c r="H70" s="427"/>
      <c r="I70" s="429">
        <f t="shared" si="111"/>
        <v>3.5705707640845685E-2</v>
      </c>
      <c r="J70" s="429">
        <f t="shared" si="111"/>
        <v>3.4391534391534417E-2</v>
      </c>
      <c r="K70" s="549"/>
      <c r="L70" s="428">
        <f t="shared" si="111"/>
        <v>5.4845020777078868E-2</v>
      </c>
      <c r="M70" s="428">
        <f t="shared" si="111"/>
        <v>6.534954407294824E-2</v>
      </c>
      <c r="N70" s="428"/>
      <c r="O70" s="428">
        <f t="shared" si="111"/>
        <v>2.6847129157360095E-2</v>
      </c>
      <c r="P70" s="428">
        <f t="shared" si="111"/>
        <v>2.8169014084507005E-2</v>
      </c>
      <c r="Q70" s="428"/>
      <c r="R70" s="428">
        <f t="shared" si="111"/>
        <v>2.0901215926249717E-2</v>
      </c>
      <c r="S70" s="428">
        <f t="shared" si="111"/>
        <v>2.0432692307692402E-2</v>
      </c>
      <c r="T70" s="428"/>
      <c r="U70" s="428">
        <f t="shared" si="111"/>
        <v>2.8752365514574607E-2</v>
      </c>
      <c r="V70" s="428">
        <f t="shared" si="111"/>
        <v>1.5681544028950611E-2</v>
      </c>
      <c r="W70" s="428"/>
      <c r="X70" s="428">
        <f t="shared" si="111"/>
        <v>3.0130060925549818E-2</v>
      </c>
      <c r="Y70" s="428">
        <f t="shared" si="111"/>
        <v>2.8717948717948749E-2</v>
      </c>
      <c r="Z70" s="428"/>
      <c r="AA70" s="428">
        <f t="shared" si="111"/>
        <v>4.5798476279829359E-2</v>
      </c>
      <c r="AB70" s="428">
        <f t="shared" si="111"/>
        <v>5.1162790697674487E-2</v>
      </c>
      <c r="AC70" s="428"/>
      <c r="AD70" s="428">
        <f t="shared" si="111"/>
        <v>2.1794812520227413E-2</v>
      </c>
      <c r="AE70" s="428">
        <f t="shared" si="111"/>
        <v>2.3809523809523836E-2</v>
      </c>
      <c r="AF70" s="428"/>
      <c r="AG70" s="428">
        <f t="shared" si="111"/>
        <v>1.2193776208342499E-2</v>
      </c>
      <c r="AH70" s="428">
        <f t="shared" si="111"/>
        <v>1.1152416356877359E-2</v>
      </c>
      <c r="AI70" s="428"/>
      <c r="AJ70" s="428">
        <f t="shared" si="111"/>
        <v>2.8805989912486618E-2</v>
      </c>
      <c r="AK70" s="428">
        <f t="shared" si="111"/>
        <v>2.8169014084507005E-2</v>
      </c>
      <c r="AL70" s="428"/>
      <c r="AM70" s="428">
        <f t="shared" si="111"/>
        <v>2.887669994169928E-2</v>
      </c>
      <c r="AN70" s="428">
        <f t="shared" si="111"/>
        <v>2.5064822817631782E-2</v>
      </c>
      <c r="AO70" s="540"/>
      <c r="AP70" s="504">
        <f t="shared" si="94"/>
        <v>3.0366967713245711E-2</v>
      </c>
      <c r="AQ70" s="504">
        <f t="shared" si="95"/>
        <v>3.0270238361435931E-2</v>
      </c>
      <c r="AR70" s="503"/>
    </row>
    <row r="71" spans="1:44" outlineLevel="1" x14ac:dyDescent="0.25">
      <c r="A71" s="445">
        <v>18</v>
      </c>
      <c r="B71" s="430">
        <f t="shared" ref="B71:AN71" si="112">B47-B46</f>
        <v>4.205629962306523E-2</v>
      </c>
      <c r="C71" s="430">
        <f t="shared" si="112"/>
        <v>4.8991354466858761E-2</v>
      </c>
      <c r="D71" s="550"/>
      <c r="E71" s="427"/>
      <c r="F71" s="427"/>
      <c r="G71" s="427"/>
      <c r="H71" s="427"/>
      <c r="I71" s="430">
        <f t="shared" si="112"/>
        <v>3.4405188018816535E-2</v>
      </c>
      <c r="J71" s="430">
        <f t="shared" si="112"/>
        <v>3.9682539682539653E-2</v>
      </c>
      <c r="K71" s="550"/>
      <c r="L71" s="426">
        <f t="shared" si="112"/>
        <v>4.1562242307630171E-2</v>
      </c>
      <c r="M71" s="426">
        <f t="shared" si="112"/>
        <v>4.1033434650455947E-2</v>
      </c>
      <c r="N71" s="426"/>
      <c r="O71" s="426">
        <f t="shared" si="112"/>
        <v>2.7680545832361014E-2</v>
      </c>
      <c r="P71" s="426">
        <f t="shared" si="112"/>
        <v>2.8169014084507005E-2</v>
      </c>
      <c r="Q71" s="426"/>
      <c r="R71" s="426">
        <f t="shared" si="112"/>
        <v>2.0319813281913346E-2</v>
      </c>
      <c r="S71" s="426">
        <f t="shared" si="112"/>
        <v>2.1033653846153855E-2</v>
      </c>
      <c r="T71" s="426"/>
      <c r="U71" s="426">
        <f t="shared" si="112"/>
        <v>3.0570514741092958E-2</v>
      </c>
      <c r="V71" s="426">
        <f t="shared" si="112"/>
        <v>3.0156815440289475E-2</v>
      </c>
      <c r="W71" s="426"/>
      <c r="X71" s="426">
        <f t="shared" si="112"/>
        <v>2.7969580434688668E-2</v>
      </c>
      <c r="Y71" s="426">
        <f t="shared" si="112"/>
        <v>2.4615384615384595E-2</v>
      </c>
      <c r="Z71" s="426"/>
      <c r="AA71" s="426">
        <f t="shared" si="112"/>
        <v>2.7373102951013362E-2</v>
      </c>
      <c r="AB71" s="426">
        <f t="shared" si="112"/>
        <v>3.100775193798444E-2</v>
      </c>
      <c r="AC71" s="426"/>
      <c r="AD71" s="426">
        <f t="shared" si="112"/>
        <v>2.8017938878357795E-2</v>
      </c>
      <c r="AE71" s="426">
        <f t="shared" si="112"/>
        <v>2.6785714285714191E-2</v>
      </c>
      <c r="AF71" s="426"/>
      <c r="AG71" s="426">
        <f t="shared" si="112"/>
        <v>3.63606267932024E-2</v>
      </c>
      <c r="AH71" s="426">
        <f t="shared" si="112"/>
        <v>4.0892193308550207E-2</v>
      </c>
      <c r="AI71" s="426"/>
      <c r="AJ71" s="426">
        <f t="shared" si="112"/>
        <v>2.3938784763601451E-2</v>
      </c>
      <c r="AK71" s="426">
        <f t="shared" si="112"/>
        <v>2.7288732394366133E-2</v>
      </c>
      <c r="AL71" s="426"/>
      <c r="AM71" s="426">
        <f t="shared" si="112"/>
        <v>3.0387759229954625E-2</v>
      </c>
      <c r="AN71" s="426">
        <f t="shared" si="112"/>
        <v>2.3336214347450257E-2</v>
      </c>
      <c r="AO71" s="555"/>
      <c r="AP71" s="503">
        <f t="shared" si="94"/>
        <v>3.0932239784158447E-2</v>
      </c>
      <c r="AQ71" s="503">
        <f t="shared" si="95"/>
        <v>3.269605351934584E-2</v>
      </c>
      <c r="AR71" s="503"/>
    </row>
    <row r="72" spans="1:44" outlineLevel="1" x14ac:dyDescent="0.25">
      <c r="A72" s="444">
        <v>19</v>
      </c>
      <c r="B72" s="429">
        <f t="shared" ref="B72:AN72" si="113">B48-B47</f>
        <v>4.6755954767824237E-2</v>
      </c>
      <c r="C72" s="429">
        <f t="shared" si="113"/>
        <v>4.8991354466858761E-2</v>
      </c>
      <c r="D72" s="549"/>
      <c r="E72" s="427"/>
      <c r="F72" s="427"/>
      <c r="G72" s="427"/>
      <c r="H72" s="427"/>
      <c r="I72" s="429">
        <f t="shared" si="113"/>
        <v>4.7580271937481378E-2</v>
      </c>
      <c r="J72" s="429">
        <f t="shared" si="113"/>
        <v>4.7619047619047672E-2</v>
      </c>
      <c r="K72" s="549"/>
      <c r="L72" s="428">
        <f t="shared" si="113"/>
        <v>7.4344753989684209E-2</v>
      </c>
      <c r="M72" s="428">
        <f t="shared" si="113"/>
        <v>5.3191489361702149E-2</v>
      </c>
      <c r="N72" s="428"/>
      <c r="O72" s="428">
        <f t="shared" si="113"/>
        <v>5.204964940938539E-2</v>
      </c>
      <c r="P72" s="428">
        <f t="shared" si="113"/>
        <v>4.8289738430583484E-2</v>
      </c>
      <c r="Q72" s="428"/>
      <c r="R72" s="428">
        <f t="shared" si="113"/>
        <v>3.7925019972644858E-2</v>
      </c>
      <c r="S72" s="428">
        <f t="shared" si="113"/>
        <v>3.8461538461538436E-2</v>
      </c>
      <c r="T72" s="428"/>
      <c r="U72" s="428">
        <f t="shared" si="113"/>
        <v>4.8165589861385305E-2</v>
      </c>
      <c r="V72" s="428">
        <f t="shared" si="113"/>
        <v>4.8250904704463249E-2</v>
      </c>
      <c r="W72" s="428"/>
      <c r="X72" s="428">
        <f t="shared" si="113"/>
        <v>4.3957136067061309E-2</v>
      </c>
      <c r="Y72" s="428">
        <f t="shared" si="113"/>
        <v>4.7179487179487167E-2</v>
      </c>
      <c r="Z72" s="428"/>
      <c r="AA72" s="428">
        <f t="shared" si="113"/>
        <v>3.9152832434216744E-2</v>
      </c>
      <c r="AB72" s="428">
        <f t="shared" si="113"/>
        <v>4.3410852713178349E-2</v>
      </c>
      <c r="AC72" s="428"/>
      <c r="AD72" s="428">
        <f t="shared" si="113"/>
        <v>3.8772019048499695E-2</v>
      </c>
      <c r="AE72" s="428">
        <f t="shared" si="113"/>
        <v>4.0476190476190554E-2</v>
      </c>
      <c r="AF72" s="428"/>
      <c r="AG72" s="428">
        <f t="shared" si="113"/>
        <v>3.9864268373427492E-2</v>
      </c>
      <c r="AH72" s="428">
        <f t="shared" si="113"/>
        <v>4.4609665427509326E-2</v>
      </c>
      <c r="AI72" s="428"/>
      <c r="AJ72" s="428">
        <f t="shared" si="113"/>
        <v>6.9525196714536164E-2</v>
      </c>
      <c r="AK72" s="428">
        <f t="shared" si="113"/>
        <v>6.9542253521126862E-2</v>
      </c>
      <c r="AL72" s="428"/>
      <c r="AM72" s="428">
        <f t="shared" si="113"/>
        <v>6.4190274489273835E-2</v>
      </c>
      <c r="AN72" s="428">
        <f t="shared" si="113"/>
        <v>7.0008643042350993E-2</v>
      </c>
      <c r="AO72" s="540"/>
      <c r="AP72" s="503">
        <f>AVERAGE(B72,I72,L72,O72,R72,U72,X72,AA72,AD72,AG72,AJ72)</f>
        <v>4.8917517506922435E-2</v>
      </c>
      <c r="AQ72" s="503">
        <f t="shared" si="95"/>
        <v>4.818386566924418E-2</v>
      </c>
      <c r="AR72" s="503"/>
    </row>
    <row r="73" spans="1:44" outlineLevel="1" x14ac:dyDescent="0.25">
      <c r="A73" s="445">
        <v>20</v>
      </c>
      <c r="B73" s="430">
        <f t="shared" ref="B73:AN73" si="114">B49-B48</f>
        <v>8.077632528671097E-2</v>
      </c>
      <c r="C73" s="430">
        <f t="shared" si="114"/>
        <v>9.5100864553314124E-2</v>
      </c>
      <c r="D73" s="550"/>
      <c r="E73" s="427"/>
      <c r="F73" s="427"/>
      <c r="G73" s="427"/>
      <c r="H73" s="427"/>
      <c r="I73" s="430">
        <f t="shared" si="114"/>
        <v>3.9730288633341271E-2</v>
      </c>
      <c r="J73" s="430">
        <f t="shared" si="114"/>
        <v>5.1587301587301515E-2</v>
      </c>
      <c r="K73" s="550"/>
      <c r="L73" s="430">
        <f t="shared" si="114"/>
        <v>6.2185716364577037E-2</v>
      </c>
      <c r="M73" s="430">
        <f t="shared" si="114"/>
        <v>5.3191489361702149E-2</v>
      </c>
      <c r="N73" s="430"/>
      <c r="O73" s="426">
        <f t="shared" si="114"/>
        <v>8.4008400840084096E-2</v>
      </c>
      <c r="P73" s="426">
        <f t="shared" si="114"/>
        <v>7.8470824949698259E-2</v>
      </c>
      <c r="Q73" s="426"/>
      <c r="R73" s="426">
        <f t="shared" si="114"/>
        <v>3.6435959962689779E-2</v>
      </c>
      <c r="S73" s="426">
        <f t="shared" si="114"/>
        <v>3.7259615384615308E-2</v>
      </c>
      <c r="T73" s="426"/>
      <c r="U73" s="426">
        <f t="shared" si="114"/>
        <v>7.9883331156675896E-2</v>
      </c>
      <c r="V73" s="426">
        <f t="shared" si="114"/>
        <v>7.9010856453558431E-2</v>
      </c>
      <c r="W73" s="426"/>
      <c r="X73" s="426">
        <f t="shared" si="114"/>
        <v>3.5721384435898562E-2</v>
      </c>
      <c r="Y73" s="426">
        <f t="shared" si="114"/>
        <v>3.6923076923076947E-2</v>
      </c>
      <c r="Z73" s="426"/>
      <c r="AA73" s="426">
        <f t="shared" si="114"/>
        <v>7.0400389182803003E-2</v>
      </c>
      <c r="AB73" s="426">
        <f t="shared" si="114"/>
        <v>6.0465116279069697E-2</v>
      </c>
      <c r="AC73" s="426"/>
      <c r="AD73" s="426">
        <f t="shared" si="114"/>
        <v>4.8512028603572288E-2</v>
      </c>
      <c r="AE73" s="426">
        <f t="shared" si="114"/>
        <v>4.7023809523809468E-2</v>
      </c>
      <c r="AF73" s="426"/>
      <c r="AG73" s="426">
        <f t="shared" si="114"/>
        <v>9.4625910395056301E-2</v>
      </c>
      <c r="AH73" s="426">
        <f t="shared" si="114"/>
        <v>0.10780669144981414</v>
      </c>
      <c r="AI73" s="426"/>
      <c r="AJ73" s="426">
        <f t="shared" si="114"/>
        <v>6.700131209899729E-2</v>
      </c>
      <c r="AK73" s="426">
        <f t="shared" si="114"/>
        <v>7.4823943661971759E-2</v>
      </c>
      <c r="AL73" s="426"/>
      <c r="AM73" s="426">
        <f t="shared" si="114"/>
        <v>5.8098444917724645E-2</v>
      </c>
      <c r="AN73" s="426">
        <f t="shared" si="114"/>
        <v>6.9144338807260119E-2</v>
      </c>
      <c r="AO73" s="555"/>
      <c r="AP73" s="503">
        <f t="shared" ref="AP73:AP74" si="115">AVERAGE(B73,I73,L73,O73,R73,U73,X73,AA73,AD73,AG73,AJ73)</f>
        <v>6.3571004269127859E-2</v>
      </c>
      <c r="AQ73" s="503">
        <f t="shared" si="95"/>
        <v>6.5605780920721071E-2</v>
      </c>
      <c r="AR73" s="503"/>
    </row>
    <row r="74" spans="1:44" outlineLevel="1" x14ac:dyDescent="0.25">
      <c r="A74" s="537">
        <v>21</v>
      </c>
      <c r="B74" s="429">
        <f t="shared" ref="B74:AN74" si="116">B50-B49</f>
        <v>0.12403560830860538</v>
      </c>
      <c r="C74" s="429">
        <f t="shared" si="116"/>
        <v>0.13544668587896258</v>
      </c>
      <c r="D74" s="549"/>
      <c r="E74" s="427"/>
      <c r="F74" s="427"/>
      <c r="G74" s="427"/>
      <c r="H74" s="427"/>
      <c r="I74" s="429">
        <f t="shared" si="116"/>
        <v>0.23653639990392561</v>
      </c>
      <c r="J74" s="429">
        <f t="shared" si="116"/>
        <v>0.23809523809523814</v>
      </c>
      <c r="K74" s="549"/>
      <c r="L74" s="429">
        <f t="shared" si="116"/>
        <v>0.11990880721781172</v>
      </c>
      <c r="M74" s="429">
        <f t="shared" si="116"/>
        <v>0.11246200607902734</v>
      </c>
      <c r="N74" s="429"/>
      <c r="O74" s="428">
        <f t="shared" si="116"/>
        <v>0.12221222122212216</v>
      </c>
      <c r="P74" s="428">
        <f t="shared" si="116"/>
        <v>0.11468812877263579</v>
      </c>
      <c r="Q74" s="428"/>
      <c r="R74" s="428">
        <f t="shared" si="116"/>
        <v>7.6042446575789402E-2</v>
      </c>
      <c r="S74" s="428">
        <f t="shared" si="116"/>
        <v>7.1514423076923128E-2</v>
      </c>
      <c r="T74" s="428"/>
      <c r="U74" s="428">
        <f t="shared" si="116"/>
        <v>0.15280391900785384</v>
      </c>
      <c r="V74" s="428">
        <f t="shared" si="116"/>
        <v>0.14294330518697229</v>
      </c>
      <c r="W74" s="428"/>
      <c r="X74" s="428">
        <f t="shared" si="116"/>
        <v>0.11002462947759584</v>
      </c>
      <c r="Y74" s="428">
        <f t="shared" si="116"/>
        <v>0.11487179487179489</v>
      </c>
      <c r="Z74" s="428"/>
      <c r="AA74" s="428">
        <f t="shared" si="116"/>
        <v>0.13387714680357565</v>
      </c>
      <c r="AB74" s="428">
        <f t="shared" si="116"/>
        <v>0.1348837209302326</v>
      </c>
      <c r="AC74" s="428"/>
      <c r="AD74" s="428">
        <f t="shared" si="116"/>
        <v>8.8692650299751929E-2</v>
      </c>
      <c r="AE74" s="428">
        <f t="shared" si="116"/>
        <v>8.7500000000000022E-2</v>
      </c>
      <c r="AF74" s="428"/>
      <c r="AG74" s="428">
        <f t="shared" si="116"/>
        <v>0.16856102405649964</v>
      </c>
      <c r="AH74" s="428">
        <f t="shared" si="116"/>
        <v>0.15613382899628248</v>
      </c>
      <c r="AI74" s="428"/>
      <c r="AJ74" s="428">
        <f t="shared" si="116"/>
        <v>0.14027822918798327</v>
      </c>
      <c r="AK74" s="428">
        <f t="shared" si="116"/>
        <v>0.13292253521126762</v>
      </c>
      <c r="AL74" s="428"/>
      <c r="AM74" s="428">
        <f t="shared" si="116"/>
        <v>8.8379121205991895E-2</v>
      </c>
      <c r="AN74" s="428">
        <f t="shared" si="116"/>
        <v>8.98876404494382E-2</v>
      </c>
      <c r="AO74" s="540"/>
      <c r="AP74" s="503">
        <f t="shared" si="115"/>
        <v>0.13390664382377404</v>
      </c>
      <c r="AQ74" s="503">
        <f t="shared" si="95"/>
        <v>0.13104196973630333</v>
      </c>
      <c r="AR74" s="503"/>
    </row>
    <row r="75" spans="1:44" outlineLevel="1" x14ac:dyDescent="0.25">
      <c r="AP75" s="14"/>
      <c r="AQ75" s="14"/>
      <c r="AR75" s="14"/>
    </row>
    <row r="76" spans="1:44" outlineLevel="1" x14ac:dyDescent="0.25">
      <c r="A76" s="529" t="s">
        <v>329</v>
      </c>
      <c r="AA76" s="22"/>
      <c r="AH76" s="22"/>
      <c r="AI76" s="22"/>
      <c r="AM76" s="724" t="s">
        <v>350</v>
      </c>
      <c r="AN76" s="724"/>
      <c r="AO76" s="558"/>
    </row>
    <row r="77" spans="1:44" outlineLevel="1" x14ac:dyDescent="0.25">
      <c r="A77" s="443" t="s">
        <v>31</v>
      </c>
      <c r="B77" s="441" t="s">
        <v>70</v>
      </c>
      <c r="C77" s="433" t="s">
        <v>71</v>
      </c>
      <c r="D77" s="542"/>
      <c r="E77" s="435" t="s">
        <v>52</v>
      </c>
      <c r="F77" s="436" t="s">
        <v>53</v>
      </c>
      <c r="G77" s="437" t="s">
        <v>48</v>
      </c>
      <c r="H77" s="438" t="s">
        <v>49</v>
      </c>
      <c r="I77" s="435" t="s">
        <v>50</v>
      </c>
      <c r="J77" s="436" t="s">
        <v>51</v>
      </c>
      <c r="K77" s="542"/>
      <c r="L77" s="439" t="s">
        <v>136</v>
      </c>
      <c r="M77" s="442" t="s">
        <v>137</v>
      </c>
      <c r="N77" s="442"/>
      <c r="O77" s="441" t="s">
        <v>72</v>
      </c>
      <c r="P77" s="433" t="s">
        <v>73</v>
      </c>
      <c r="Q77" s="433"/>
      <c r="R77" s="437" t="s">
        <v>87</v>
      </c>
      <c r="S77" s="438" t="s">
        <v>88</v>
      </c>
      <c r="T77" s="438"/>
      <c r="U77" s="434" t="s">
        <v>94</v>
      </c>
      <c r="V77" s="434" t="s">
        <v>95</v>
      </c>
      <c r="W77" s="434"/>
      <c r="X77" s="434" t="s">
        <v>110</v>
      </c>
      <c r="Y77" s="434" t="s">
        <v>113</v>
      </c>
      <c r="Z77" s="434"/>
      <c r="AA77" s="439" t="s">
        <v>132</v>
      </c>
      <c r="AB77" s="442" t="s">
        <v>133</v>
      </c>
      <c r="AC77" s="442"/>
      <c r="AD77" s="437" t="s">
        <v>134</v>
      </c>
      <c r="AE77" s="438" t="s">
        <v>135</v>
      </c>
      <c r="AF77" s="438"/>
      <c r="AG77" s="439" t="s">
        <v>154</v>
      </c>
      <c r="AH77" s="442" t="s">
        <v>153</v>
      </c>
      <c r="AI77" s="442"/>
      <c r="AJ77" s="434" t="s">
        <v>169</v>
      </c>
      <c r="AK77" s="434" t="s">
        <v>170</v>
      </c>
      <c r="AL77" s="434"/>
      <c r="AM77" s="434" t="s">
        <v>199</v>
      </c>
      <c r="AN77" s="434" t="s">
        <v>200</v>
      </c>
      <c r="AO77" s="559"/>
      <c r="AP77" s="712" t="s">
        <v>351</v>
      </c>
      <c r="AQ77" s="712"/>
      <c r="AR77" s="512"/>
    </row>
    <row r="78" spans="1:44" outlineLevel="1" x14ac:dyDescent="0.25">
      <c r="A78" s="444">
        <v>1</v>
      </c>
      <c r="B78" s="428"/>
      <c r="C78" s="428"/>
      <c r="D78" s="543"/>
      <c r="E78" s="427"/>
      <c r="F78" s="427"/>
      <c r="G78" s="427"/>
      <c r="H78" s="427"/>
      <c r="I78" s="428"/>
      <c r="J78" s="428"/>
      <c r="K78" s="543"/>
      <c r="L78" s="428"/>
      <c r="M78" s="428"/>
      <c r="N78" s="428"/>
      <c r="O78" s="428"/>
      <c r="P78" s="428"/>
      <c r="Q78" s="428"/>
      <c r="R78" s="428"/>
      <c r="S78" s="428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  <c r="AF78" s="428"/>
      <c r="AG78" s="428"/>
      <c r="AH78" s="428"/>
      <c r="AI78" s="428"/>
      <c r="AJ78" s="428"/>
      <c r="AK78" s="428"/>
      <c r="AL78" s="428"/>
      <c r="AM78" s="428"/>
      <c r="AN78" s="428"/>
      <c r="AO78" s="540"/>
      <c r="AP78" s="503" t="e">
        <f t="shared" ref="AP78:AP98" si="117">AVERAGE(B78,I78,L78,O78,R78,U78,X78,AA78,AD78,AG78,AJ78)</f>
        <v>#DIV/0!</v>
      </c>
      <c r="AQ78" s="503" t="e">
        <f t="shared" ref="AQ78:AQ98" si="118">AVERAGE(C78,J78,M78,P78,S78,V78,Y78,AB78,AE78,AH78,AK78)</f>
        <v>#DIV/0!</v>
      </c>
      <c r="AR78" s="503"/>
    </row>
    <row r="79" spans="1:44" outlineLevel="1" x14ac:dyDescent="0.25">
      <c r="A79" s="445">
        <v>2</v>
      </c>
      <c r="B79" s="426"/>
      <c r="C79" s="426"/>
      <c r="D79" s="544"/>
      <c r="E79" s="427"/>
      <c r="F79" s="427"/>
      <c r="G79" s="427"/>
      <c r="H79" s="427"/>
      <c r="I79" s="426"/>
      <c r="J79" s="426"/>
      <c r="K79" s="544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6"/>
      <c r="AD79" s="426"/>
      <c r="AE79" s="426"/>
      <c r="AF79" s="426"/>
      <c r="AG79" s="426"/>
      <c r="AH79" s="426"/>
      <c r="AI79" s="426"/>
      <c r="AJ79" s="426"/>
      <c r="AK79" s="426"/>
      <c r="AL79" s="426"/>
      <c r="AM79" s="426"/>
      <c r="AN79" s="426"/>
      <c r="AO79" s="555"/>
      <c r="AP79" s="503" t="e">
        <f t="shared" si="117"/>
        <v>#DIV/0!</v>
      </c>
      <c r="AQ79" s="503" t="e">
        <f t="shared" si="118"/>
        <v>#DIV/0!</v>
      </c>
      <c r="AR79" s="503"/>
    </row>
    <row r="80" spans="1:44" outlineLevel="1" x14ac:dyDescent="0.25">
      <c r="A80" s="444">
        <v>3</v>
      </c>
      <c r="B80" s="428"/>
      <c r="C80" s="428"/>
      <c r="D80" s="543"/>
      <c r="E80" s="427"/>
      <c r="F80" s="427"/>
      <c r="G80" s="427"/>
      <c r="H80" s="427"/>
      <c r="I80" s="428"/>
      <c r="J80" s="428"/>
      <c r="K80" s="543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  <c r="AI80" s="428"/>
      <c r="AJ80" s="428"/>
      <c r="AK80" s="428"/>
      <c r="AL80" s="428"/>
      <c r="AM80" s="428"/>
      <c r="AN80" s="428"/>
      <c r="AO80" s="540"/>
      <c r="AP80" s="503" t="e">
        <f t="shared" si="117"/>
        <v>#DIV/0!</v>
      </c>
      <c r="AQ80" s="503" t="e">
        <f t="shared" si="118"/>
        <v>#DIV/0!</v>
      </c>
      <c r="AR80" s="503"/>
    </row>
    <row r="81" spans="1:44" outlineLevel="1" x14ac:dyDescent="0.25">
      <c r="A81" s="445">
        <v>4</v>
      </c>
      <c r="B81" s="426"/>
      <c r="C81" s="426"/>
      <c r="D81" s="544"/>
      <c r="E81" s="427"/>
      <c r="F81" s="427"/>
      <c r="G81" s="427"/>
      <c r="H81" s="427"/>
      <c r="I81" s="426"/>
      <c r="J81" s="426"/>
      <c r="K81" s="544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  <c r="AE81" s="426"/>
      <c r="AF81" s="426"/>
      <c r="AG81" s="426"/>
      <c r="AH81" s="426"/>
      <c r="AI81" s="426"/>
      <c r="AJ81" s="426"/>
      <c r="AK81" s="426"/>
      <c r="AL81" s="426"/>
      <c r="AM81" s="426"/>
      <c r="AN81" s="426"/>
      <c r="AO81" s="555"/>
      <c r="AP81" s="503" t="e">
        <f t="shared" si="117"/>
        <v>#DIV/0!</v>
      </c>
      <c r="AQ81" s="503" t="e">
        <f t="shared" si="118"/>
        <v>#DIV/0!</v>
      </c>
      <c r="AR81" s="503"/>
    </row>
    <row r="82" spans="1:44" outlineLevel="1" x14ac:dyDescent="0.25">
      <c r="A82" s="444">
        <v>5</v>
      </c>
      <c r="B82" s="428"/>
      <c r="C82" s="428"/>
      <c r="D82" s="543"/>
      <c r="E82" s="427"/>
      <c r="F82" s="427"/>
      <c r="G82" s="427"/>
      <c r="H82" s="427"/>
      <c r="I82" s="428"/>
      <c r="J82" s="428"/>
      <c r="K82" s="543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  <c r="AI82" s="428"/>
      <c r="AJ82" s="428"/>
      <c r="AK82" s="428"/>
      <c r="AL82" s="428"/>
      <c r="AM82" s="428"/>
      <c r="AN82" s="428"/>
      <c r="AO82" s="540"/>
      <c r="AP82" s="503" t="e">
        <f t="shared" si="117"/>
        <v>#DIV/0!</v>
      </c>
      <c r="AQ82" s="503" t="e">
        <f t="shared" si="118"/>
        <v>#DIV/0!</v>
      </c>
      <c r="AR82" s="503"/>
    </row>
    <row r="83" spans="1:44" outlineLevel="1" x14ac:dyDescent="0.25">
      <c r="A83" s="445">
        <v>6</v>
      </c>
      <c r="B83" s="426"/>
      <c r="C83" s="426"/>
      <c r="D83" s="544"/>
      <c r="E83" s="427"/>
      <c r="F83" s="427"/>
      <c r="G83" s="427"/>
      <c r="H83" s="427"/>
      <c r="I83" s="426"/>
      <c r="J83" s="426"/>
      <c r="K83" s="544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26"/>
      <c r="AO83" s="555"/>
      <c r="AP83" s="503" t="e">
        <f t="shared" si="117"/>
        <v>#DIV/0!</v>
      </c>
      <c r="AQ83" s="503" t="e">
        <f t="shared" si="118"/>
        <v>#DIV/0!</v>
      </c>
      <c r="AR83" s="503"/>
    </row>
    <row r="84" spans="1:44" outlineLevel="1" x14ac:dyDescent="0.25">
      <c r="A84" s="444">
        <v>7</v>
      </c>
      <c r="B84" s="428"/>
      <c r="C84" s="428"/>
      <c r="D84" s="543"/>
      <c r="E84" s="427"/>
      <c r="F84" s="427"/>
      <c r="G84" s="427"/>
      <c r="H84" s="427"/>
      <c r="I84" s="428"/>
      <c r="J84" s="428"/>
      <c r="K84" s="543"/>
      <c r="L84" s="428"/>
      <c r="M84" s="428"/>
      <c r="N84" s="428"/>
      <c r="O84" s="428"/>
      <c r="P84" s="428"/>
      <c r="Q84" s="428"/>
      <c r="R84" s="428"/>
      <c r="S84" s="428"/>
      <c r="T84" s="428"/>
      <c r="U84" s="428"/>
      <c r="V84" s="428"/>
      <c r="W84" s="428"/>
      <c r="X84" s="428"/>
      <c r="Y84" s="428"/>
      <c r="Z84" s="428"/>
      <c r="AA84" s="428"/>
      <c r="AB84" s="428"/>
      <c r="AC84" s="428"/>
      <c r="AD84" s="428"/>
      <c r="AE84" s="428"/>
      <c r="AF84" s="428"/>
      <c r="AG84" s="428"/>
      <c r="AH84" s="428"/>
      <c r="AI84" s="428"/>
      <c r="AJ84" s="428"/>
      <c r="AK84" s="428"/>
      <c r="AL84" s="428"/>
      <c r="AM84" s="428"/>
      <c r="AN84" s="428"/>
      <c r="AO84" s="540"/>
      <c r="AP84" s="503" t="e">
        <f t="shared" si="117"/>
        <v>#DIV/0!</v>
      </c>
      <c r="AQ84" s="503" t="e">
        <f t="shared" si="118"/>
        <v>#DIV/0!</v>
      </c>
      <c r="AR84" s="503"/>
    </row>
    <row r="85" spans="1:44" outlineLevel="1" x14ac:dyDescent="0.25">
      <c r="A85" s="445">
        <v>8</v>
      </c>
      <c r="B85" s="426"/>
      <c r="C85" s="426"/>
      <c r="D85" s="544"/>
      <c r="E85" s="427"/>
      <c r="F85" s="427"/>
      <c r="G85" s="427"/>
      <c r="H85" s="427"/>
      <c r="I85" s="426"/>
      <c r="J85" s="426"/>
      <c r="K85" s="544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6"/>
      <c r="AD85" s="426"/>
      <c r="AE85" s="426"/>
      <c r="AF85" s="426"/>
      <c r="AG85" s="426"/>
      <c r="AH85" s="426"/>
      <c r="AI85" s="426"/>
      <c r="AJ85" s="426"/>
      <c r="AK85" s="426"/>
      <c r="AL85" s="426"/>
      <c r="AM85" s="426"/>
      <c r="AN85" s="426"/>
      <c r="AO85" s="555"/>
      <c r="AP85" s="503" t="e">
        <f t="shared" si="117"/>
        <v>#DIV/0!</v>
      </c>
      <c r="AQ85" s="503" t="e">
        <f t="shared" si="118"/>
        <v>#DIV/0!</v>
      </c>
      <c r="AR85" s="503"/>
    </row>
    <row r="86" spans="1:44" outlineLevel="1" x14ac:dyDescent="0.25">
      <c r="A86" s="444">
        <v>9</v>
      </c>
      <c r="B86" s="428"/>
      <c r="C86" s="428"/>
      <c r="D86" s="543"/>
      <c r="E86" s="427"/>
      <c r="F86" s="427"/>
      <c r="G86" s="427"/>
      <c r="H86" s="427"/>
      <c r="I86" s="428"/>
      <c r="J86" s="428"/>
      <c r="K86" s="543"/>
      <c r="L86" s="428"/>
      <c r="M86" s="428"/>
      <c r="N86" s="428"/>
      <c r="O86" s="428"/>
      <c r="P86" s="428"/>
      <c r="Q86" s="428"/>
      <c r="R86" s="428"/>
      <c r="S86" s="428"/>
      <c r="T86" s="428"/>
      <c r="U86" s="428"/>
      <c r="V86" s="428"/>
      <c r="W86" s="428"/>
      <c r="X86" s="428"/>
      <c r="Y86" s="428"/>
      <c r="Z86" s="428"/>
      <c r="AA86" s="428"/>
      <c r="AB86" s="428"/>
      <c r="AC86" s="428"/>
      <c r="AD86" s="428"/>
      <c r="AE86" s="428"/>
      <c r="AF86" s="428"/>
      <c r="AG86" s="428"/>
      <c r="AH86" s="428"/>
      <c r="AI86" s="428"/>
      <c r="AJ86" s="428"/>
      <c r="AK86" s="428"/>
      <c r="AL86" s="428"/>
      <c r="AM86" s="428"/>
      <c r="AN86" s="428"/>
      <c r="AO86" s="540"/>
      <c r="AP86" s="503" t="e">
        <f t="shared" si="117"/>
        <v>#DIV/0!</v>
      </c>
      <c r="AQ86" s="503" t="e">
        <f t="shared" si="118"/>
        <v>#DIV/0!</v>
      </c>
      <c r="AR86" s="503"/>
    </row>
    <row r="87" spans="1:44" outlineLevel="1" x14ac:dyDescent="0.25">
      <c r="A87" s="445">
        <v>10</v>
      </c>
      <c r="B87" s="426"/>
      <c r="C87" s="426"/>
      <c r="D87" s="544"/>
      <c r="E87" s="427"/>
      <c r="F87" s="427"/>
      <c r="G87" s="427"/>
      <c r="H87" s="427"/>
      <c r="I87" s="426"/>
      <c r="J87" s="426"/>
      <c r="K87" s="544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6"/>
      <c r="AD87" s="426"/>
      <c r="AE87" s="426"/>
      <c r="AF87" s="426"/>
      <c r="AG87" s="426"/>
      <c r="AH87" s="426"/>
      <c r="AI87" s="426"/>
      <c r="AJ87" s="426"/>
      <c r="AK87" s="426"/>
      <c r="AL87" s="426"/>
      <c r="AM87" s="426"/>
      <c r="AN87" s="426"/>
      <c r="AO87" s="555"/>
      <c r="AP87" s="503" t="e">
        <f t="shared" si="117"/>
        <v>#DIV/0!</v>
      </c>
      <c r="AQ87" s="503" t="e">
        <f t="shared" si="118"/>
        <v>#DIV/0!</v>
      </c>
      <c r="AR87" s="503"/>
    </row>
    <row r="88" spans="1:44" outlineLevel="1" x14ac:dyDescent="0.25">
      <c r="A88" s="444">
        <v>11</v>
      </c>
      <c r="B88" s="428"/>
      <c r="C88" s="428"/>
      <c r="D88" s="543"/>
      <c r="E88" s="427"/>
      <c r="F88" s="427"/>
      <c r="G88" s="427"/>
      <c r="H88" s="427"/>
      <c r="I88" s="428"/>
      <c r="J88" s="428"/>
      <c r="K88" s="543"/>
      <c r="L88" s="428"/>
      <c r="M88" s="428"/>
      <c r="N88" s="428"/>
      <c r="O88" s="428"/>
      <c r="P88" s="428"/>
      <c r="Q88" s="428"/>
      <c r="R88" s="428"/>
      <c r="S88" s="428"/>
      <c r="T88" s="428"/>
      <c r="U88" s="428"/>
      <c r="V88" s="428"/>
      <c r="W88" s="428"/>
      <c r="X88" s="428"/>
      <c r="Y88" s="428"/>
      <c r="Z88" s="428"/>
      <c r="AA88" s="428"/>
      <c r="AB88" s="428"/>
      <c r="AC88" s="428"/>
      <c r="AD88" s="428"/>
      <c r="AE88" s="428"/>
      <c r="AF88" s="428"/>
      <c r="AG88" s="428"/>
      <c r="AH88" s="428"/>
      <c r="AI88" s="428"/>
      <c r="AJ88" s="428"/>
      <c r="AK88" s="428"/>
      <c r="AL88" s="428"/>
      <c r="AM88" s="428"/>
      <c r="AN88" s="428"/>
      <c r="AO88" s="540"/>
      <c r="AP88" s="503" t="e">
        <f t="shared" si="117"/>
        <v>#DIV/0!</v>
      </c>
      <c r="AQ88" s="503" t="e">
        <f t="shared" si="118"/>
        <v>#DIV/0!</v>
      </c>
      <c r="AR88" s="503"/>
    </row>
    <row r="89" spans="1:44" outlineLevel="1" x14ac:dyDescent="0.25">
      <c r="A89" s="445">
        <v>12</v>
      </c>
      <c r="B89" s="426"/>
      <c r="C89" s="426"/>
      <c r="D89" s="544"/>
      <c r="E89" s="427"/>
      <c r="F89" s="427"/>
      <c r="G89" s="427"/>
      <c r="H89" s="427"/>
      <c r="I89" s="426"/>
      <c r="J89" s="426"/>
      <c r="K89" s="544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426"/>
      <c r="AL89" s="426"/>
      <c r="AM89" s="426"/>
      <c r="AN89" s="426"/>
      <c r="AO89" s="555"/>
      <c r="AP89" s="503" t="e">
        <f t="shared" si="117"/>
        <v>#DIV/0!</v>
      </c>
      <c r="AQ89" s="503" t="e">
        <f t="shared" si="118"/>
        <v>#DIV/0!</v>
      </c>
      <c r="AR89" s="503"/>
    </row>
    <row r="90" spans="1:44" outlineLevel="1" x14ac:dyDescent="0.25">
      <c r="A90" s="444">
        <v>13</v>
      </c>
      <c r="B90" s="428"/>
      <c r="C90" s="428"/>
      <c r="D90" s="543"/>
      <c r="E90" s="427"/>
      <c r="F90" s="427"/>
      <c r="G90" s="427"/>
      <c r="H90" s="427"/>
      <c r="I90" s="428"/>
      <c r="J90" s="428"/>
      <c r="K90" s="543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  <c r="AI90" s="428"/>
      <c r="AJ90" s="428"/>
      <c r="AK90" s="428"/>
      <c r="AL90" s="428"/>
      <c r="AM90" s="428"/>
      <c r="AN90" s="428"/>
      <c r="AO90" s="540"/>
      <c r="AP90" s="503" t="e">
        <f t="shared" si="117"/>
        <v>#DIV/0!</v>
      </c>
      <c r="AQ90" s="503" t="e">
        <f t="shared" si="118"/>
        <v>#DIV/0!</v>
      </c>
      <c r="AR90" s="503"/>
    </row>
    <row r="91" spans="1:44" outlineLevel="1" x14ac:dyDescent="0.25">
      <c r="A91" s="445">
        <v>14</v>
      </c>
      <c r="B91" s="426"/>
      <c r="C91" s="426"/>
      <c r="D91" s="544"/>
      <c r="E91" s="427"/>
      <c r="F91" s="427"/>
      <c r="G91" s="427"/>
      <c r="H91" s="427"/>
      <c r="I91" s="426"/>
      <c r="J91" s="426"/>
      <c r="K91" s="544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426"/>
      <c r="AF91" s="426"/>
      <c r="AG91" s="426"/>
      <c r="AH91" s="426"/>
      <c r="AI91" s="426"/>
      <c r="AJ91" s="426"/>
      <c r="AK91" s="426"/>
      <c r="AL91" s="426"/>
      <c r="AM91" s="426"/>
      <c r="AN91" s="426"/>
      <c r="AO91" s="555"/>
      <c r="AP91" s="503" t="e">
        <f t="shared" si="117"/>
        <v>#DIV/0!</v>
      </c>
      <c r="AQ91" s="503" t="e">
        <f t="shared" si="118"/>
        <v>#DIV/0!</v>
      </c>
      <c r="AR91" s="503"/>
    </row>
    <row r="92" spans="1:44" outlineLevel="1" x14ac:dyDescent="0.25">
      <c r="A92" s="444">
        <v>15</v>
      </c>
      <c r="B92" s="428"/>
      <c r="C92" s="428"/>
      <c r="D92" s="543"/>
      <c r="E92" s="427"/>
      <c r="F92" s="427"/>
      <c r="G92" s="427"/>
      <c r="H92" s="427"/>
      <c r="I92" s="428"/>
      <c r="J92" s="428"/>
      <c r="K92" s="543"/>
      <c r="L92" s="428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28"/>
      <c r="X92" s="428"/>
      <c r="Y92" s="428"/>
      <c r="Z92" s="428"/>
      <c r="AA92" s="428"/>
      <c r="AB92" s="428"/>
      <c r="AC92" s="428"/>
      <c r="AD92" s="428"/>
      <c r="AE92" s="428"/>
      <c r="AF92" s="428"/>
      <c r="AG92" s="428"/>
      <c r="AH92" s="428"/>
      <c r="AI92" s="428"/>
      <c r="AJ92" s="428"/>
      <c r="AK92" s="428"/>
      <c r="AL92" s="428"/>
      <c r="AM92" s="428"/>
      <c r="AN92" s="428"/>
      <c r="AO92" s="540"/>
      <c r="AP92" s="503" t="e">
        <f t="shared" si="117"/>
        <v>#DIV/0!</v>
      </c>
      <c r="AQ92" s="503" t="e">
        <f t="shared" si="118"/>
        <v>#DIV/0!</v>
      </c>
      <c r="AR92" s="503"/>
    </row>
    <row r="93" spans="1:44" outlineLevel="1" x14ac:dyDescent="0.25">
      <c r="A93" s="445">
        <v>16</v>
      </c>
      <c r="B93" s="428"/>
      <c r="C93" s="428"/>
      <c r="D93" s="543"/>
      <c r="E93" s="427"/>
      <c r="F93" s="427"/>
      <c r="G93" s="427"/>
      <c r="H93" s="427"/>
      <c r="I93" s="428"/>
      <c r="J93" s="428"/>
      <c r="K93" s="543"/>
      <c r="L93" s="428"/>
      <c r="M93" s="428"/>
      <c r="N93" s="428"/>
      <c r="O93" s="428"/>
      <c r="P93" s="428"/>
      <c r="Q93" s="428"/>
      <c r="R93" s="428"/>
      <c r="S93" s="428"/>
      <c r="T93" s="428"/>
      <c r="U93" s="428"/>
      <c r="V93" s="428"/>
      <c r="W93" s="428"/>
      <c r="X93" s="428"/>
      <c r="Y93" s="428"/>
      <c r="Z93" s="428"/>
      <c r="AA93" s="428"/>
      <c r="AB93" s="428"/>
      <c r="AC93" s="428"/>
      <c r="AD93" s="428"/>
      <c r="AE93" s="428"/>
      <c r="AF93" s="428"/>
      <c r="AG93" s="428"/>
      <c r="AH93" s="428"/>
      <c r="AI93" s="428"/>
      <c r="AJ93" s="428"/>
      <c r="AK93" s="428"/>
      <c r="AL93" s="428"/>
      <c r="AM93" s="428"/>
      <c r="AN93" s="428"/>
      <c r="AO93" s="540"/>
      <c r="AP93" s="503" t="e">
        <f t="shared" si="117"/>
        <v>#DIV/0!</v>
      </c>
      <c r="AQ93" s="503" t="e">
        <f t="shared" si="118"/>
        <v>#DIV/0!</v>
      </c>
      <c r="AR93" s="503"/>
    </row>
    <row r="94" spans="1:44" outlineLevel="1" x14ac:dyDescent="0.25">
      <c r="A94" s="444">
        <v>17</v>
      </c>
      <c r="B94" s="428">
        <f t="shared" ref="B94:C98" si="119">B70/SUM(B$70:B$74)</f>
        <v>8.7801474985050601E-2</v>
      </c>
      <c r="C94" s="428">
        <f t="shared" si="119"/>
        <v>7.317073170731711E-2</v>
      </c>
      <c r="D94" s="543"/>
      <c r="E94" s="427"/>
      <c r="F94" s="427"/>
      <c r="G94" s="427"/>
      <c r="H94" s="427"/>
      <c r="I94" s="428">
        <f t="shared" ref="I94:AN98" si="120">I70/SUM(I$70:I$74)</f>
        <v>9.0633317967553403E-2</v>
      </c>
      <c r="J94" s="428">
        <f t="shared" si="120"/>
        <v>8.3601286173633493E-2</v>
      </c>
      <c r="K94" s="543"/>
      <c r="L94" s="428">
        <f t="shared" si="120"/>
        <v>0.15543590331080295</v>
      </c>
      <c r="M94" s="428">
        <f t="shared" si="120"/>
        <v>0.20093457943925208</v>
      </c>
      <c r="N94" s="428"/>
      <c r="O94" s="428">
        <f t="shared" si="120"/>
        <v>8.5828981491349335E-2</v>
      </c>
      <c r="P94" s="428">
        <f t="shared" si="120"/>
        <v>9.4594594594594489E-2</v>
      </c>
      <c r="Q94" s="428"/>
      <c r="R94" s="428">
        <f t="shared" si="120"/>
        <v>0.10907384366882769</v>
      </c>
      <c r="S94" s="428">
        <f t="shared" si="120"/>
        <v>0.10828025477707053</v>
      </c>
      <c r="T94" s="428"/>
      <c r="U94" s="428">
        <f t="shared" si="120"/>
        <v>8.4522097846297356E-2</v>
      </c>
      <c r="V94" s="428">
        <f t="shared" si="120"/>
        <v>4.961832061068723E-2</v>
      </c>
      <c r="W94" s="428"/>
      <c r="X94" s="428">
        <f t="shared" si="120"/>
        <v>0.12158886815811948</v>
      </c>
      <c r="Y94" s="428">
        <f t="shared" si="120"/>
        <v>0.11382113821138222</v>
      </c>
      <c r="Z94" s="428"/>
      <c r="AA94" s="428">
        <f t="shared" si="120"/>
        <v>0.14465633145836185</v>
      </c>
      <c r="AB94" s="428">
        <f t="shared" si="120"/>
        <v>0.15942028985507267</v>
      </c>
      <c r="AC94" s="428"/>
      <c r="AD94" s="428">
        <f t="shared" si="120"/>
        <v>9.6527152100908925E-2</v>
      </c>
      <c r="AE94" s="428">
        <f t="shared" si="120"/>
        <v>0.10554089709762546</v>
      </c>
      <c r="AF94" s="428"/>
      <c r="AG94" s="428">
        <f t="shared" si="120"/>
        <v>3.4680266771282775E-2</v>
      </c>
      <c r="AH94" s="428">
        <f t="shared" si="120"/>
        <v>3.0927835051546487E-2</v>
      </c>
      <c r="AI94" s="428"/>
      <c r="AJ94" s="428">
        <f t="shared" si="120"/>
        <v>8.74102033361744E-2</v>
      </c>
      <c r="AK94" s="428">
        <f t="shared" si="120"/>
        <v>8.4656084656084554E-2</v>
      </c>
      <c r="AL94" s="428"/>
      <c r="AM94" s="428">
        <f>AM70/SUM(AM$70:AM$74)</f>
        <v>0.10697756424384007</v>
      </c>
      <c r="AN94" s="428">
        <f t="shared" ref="AN94" si="121">AN70/SUM(AN$70:AN$74)</f>
        <v>9.0342679127725783E-2</v>
      </c>
      <c r="AO94" s="540"/>
      <c r="AP94" s="503">
        <f t="shared" si="117"/>
        <v>9.9832585554066225E-2</v>
      </c>
      <c r="AQ94" s="503">
        <f t="shared" si="118"/>
        <v>0.10041509201584241</v>
      </c>
      <c r="AR94" s="503"/>
    </row>
    <row r="95" spans="1:44" outlineLevel="1" x14ac:dyDescent="0.25">
      <c r="A95" s="445">
        <v>18</v>
      </c>
      <c r="B95" s="428">
        <f t="shared" si="119"/>
        <v>0.13065577038070569</v>
      </c>
      <c r="C95" s="428">
        <f t="shared" si="119"/>
        <v>0.13821138211382106</v>
      </c>
      <c r="D95" s="543"/>
      <c r="E95" s="427"/>
      <c r="F95" s="427"/>
      <c r="G95" s="427"/>
      <c r="H95" s="427"/>
      <c r="I95" s="428">
        <f t="shared" si="120"/>
        <v>8.7332153637972323E-2</v>
      </c>
      <c r="J95" s="428">
        <f t="shared" si="120"/>
        <v>9.646302250803851E-2</v>
      </c>
      <c r="K95" s="543"/>
      <c r="L95" s="428">
        <f t="shared" si="120"/>
        <v>0.11779127047771812</v>
      </c>
      <c r="M95" s="428">
        <f t="shared" si="120"/>
        <v>0.12616822429906549</v>
      </c>
      <c r="N95" s="428"/>
      <c r="O95" s="428">
        <f t="shared" si="120"/>
        <v>8.8493374542612538E-2</v>
      </c>
      <c r="P95" s="428">
        <f t="shared" si="120"/>
        <v>9.4594594594594489E-2</v>
      </c>
      <c r="Q95" s="428"/>
      <c r="R95" s="428">
        <f t="shared" si="120"/>
        <v>0.10603977037085537</v>
      </c>
      <c r="S95" s="428">
        <f t="shared" si="120"/>
        <v>0.11146496815286626</v>
      </c>
      <c r="T95" s="428"/>
      <c r="U95" s="428">
        <f t="shared" si="120"/>
        <v>8.9866833281893307E-2</v>
      </c>
      <c r="V95" s="428">
        <f t="shared" si="120"/>
        <v>9.541984732824417E-2</v>
      </c>
      <c r="W95" s="428"/>
      <c r="X95" s="428">
        <f t="shared" si="120"/>
        <v>0.11287032031944756</v>
      </c>
      <c r="Y95" s="428">
        <f t="shared" si="120"/>
        <v>9.7560975609756004E-2</v>
      </c>
      <c r="Z95" s="428"/>
      <c r="AA95" s="428">
        <f t="shared" si="120"/>
        <v>8.645904788036772E-2</v>
      </c>
      <c r="AB95" s="428">
        <f t="shared" si="120"/>
        <v>9.6618357487922524E-2</v>
      </c>
      <c r="AC95" s="428"/>
      <c r="AD95" s="428">
        <f t="shared" si="120"/>
        <v>0.12408878696043921</v>
      </c>
      <c r="AE95" s="428">
        <f t="shared" si="120"/>
        <v>0.11873350923482809</v>
      </c>
      <c r="AF95" s="428"/>
      <c r="AG95" s="428">
        <f t="shared" si="120"/>
        <v>0.10341310317771681</v>
      </c>
      <c r="AH95" s="428">
        <f t="shared" si="120"/>
        <v>0.11340206185567014</v>
      </c>
      <c r="AI95" s="428"/>
      <c r="AJ95" s="428">
        <f t="shared" si="120"/>
        <v>7.2640935102885551E-2</v>
      </c>
      <c r="AK95" s="428">
        <f t="shared" si="120"/>
        <v>8.2010582010581826E-2</v>
      </c>
      <c r="AL95" s="428"/>
      <c r="AM95" s="428">
        <f t="shared" ref="AM95:AM98" si="122">AM71/SUM(AM$70:AM$74)</f>
        <v>0.11257548375721764</v>
      </c>
      <c r="AN95" s="428">
        <f t="shared" si="120"/>
        <v>8.4112149532710123E-2</v>
      </c>
      <c r="AO95" s="540"/>
      <c r="AP95" s="503">
        <f t="shared" si="117"/>
        <v>0.10178648783023765</v>
      </c>
      <c r="AQ95" s="503">
        <f t="shared" si="118"/>
        <v>0.10642250229048987</v>
      </c>
      <c r="AR95" s="503"/>
    </row>
    <row r="96" spans="1:44" outlineLevel="1" x14ac:dyDescent="0.25">
      <c r="A96" s="444">
        <v>19</v>
      </c>
      <c r="B96" s="428">
        <f t="shared" si="119"/>
        <v>0.14525612916085323</v>
      </c>
      <c r="C96" s="428">
        <f t="shared" si="119"/>
        <v>0.13821138211382106</v>
      </c>
      <c r="D96" s="543"/>
      <c r="E96" s="427"/>
      <c r="F96" s="427"/>
      <c r="G96" s="427"/>
      <c r="H96" s="427"/>
      <c r="I96" s="428">
        <f t="shared" si="120"/>
        <v>0.12077503011197205</v>
      </c>
      <c r="J96" s="428">
        <f t="shared" si="120"/>
        <v>0.11575562700964642</v>
      </c>
      <c r="K96" s="543"/>
      <c r="L96" s="428">
        <f t="shared" si="120"/>
        <v>0.21069996563180204</v>
      </c>
      <c r="M96" s="428">
        <f t="shared" si="120"/>
        <v>0.16355140186915895</v>
      </c>
      <c r="N96" s="428"/>
      <c r="O96" s="428">
        <f t="shared" si="120"/>
        <v>0.16640022736154042</v>
      </c>
      <c r="P96" s="428">
        <f t="shared" si="120"/>
        <v>0.16216216216216214</v>
      </c>
      <c r="Q96" s="428"/>
      <c r="R96" s="428">
        <f t="shared" si="120"/>
        <v>0.19791325606268995</v>
      </c>
      <c r="S96" s="428">
        <f t="shared" si="120"/>
        <v>0.20382165605095523</v>
      </c>
      <c r="T96" s="428"/>
      <c r="U96" s="428">
        <f t="shared" si="120"/>
        <v>0.14159032226496335</v>
      </c>
      <c r="V96" s="428">
        <f t="shared" si="120"/>
        <v>0.15267175572519096</v>
      </c>
      <c r="W96" s="428"/>
      <c r="X96" s="428">
        <f t="shared" si="120"/>
        <v>0.1773875743256203</v>
      </c>
      <c r="Y96" s="428">
        <f t="shared" si="120"/>
        <v>0.18699186991869912</v>
      </c>
      <c r="Z96" s="428"/>
      <c r="AA96" s="428">
        <f t="shared" si="120"/>
        <v>0.12366579777747271</v>
      </c>
      <c r="AB96" s="428">
        <f t="shared" si="120"/>
        <v>0.13526570048309194</v>
      </c>
      <c r="AC96" s="428"/>
      <c r="AD96" s="428">
        <f t="shared" si="120"/>
        <v>0.17171758538782866</v>
      </c>
      <c r="AE96" s="428">
        <f t="shared" si="120"/>
        <v>0.17941952506596343</v>
      </c>
      <c r="AF96" s="428"/>
      <c r="AG96" s="428">
        <f t="shared" si="120"/>
        <v>0.11337779521380932</v>
      </c>
      <c r="AH96" s="428">
        <f t="shared" si="120"/>
        <v>0.12371134020618564</v>
      </c>
      <c r="AI96" s="428"/>
      <c r="AJ96" s="428">
        <f t="shared" si="120"/>
        <v>0.21097041276025802</v>
      </c>
      <c r="AK96" s="428">
        <f t="shared" si="120"/>
        <v>0.20899470899470934</v>
      </c>
      <c r="AL96" s="428"/>
      <c r="AM96" s="428">
        <f t="shared" si="122"/>
        <v>0.23780138405254103</v>
      </c>
      <c r="AN96" s="428">
        <f t="shared" si="120"/>
        <v>0.25233644859813115</v>
      </c>
      <c r="AO96" s="540"/>
      <c r="AP96" s="503">
        <f t="shared" si="117"/>
        <v>0.16179582691443725</v>
      </c>
      <c r="AQ96" s="503">
        <f t="shared" si="118"/>
        <v>0.16095973905450764</v>
      </c>
      <c r="AR96" s="503"/>
    </row>
    <row r="97" spans="1:50" outlineLevel="1" x14ac:dyDescent="0.25">
      <c r="A97" s="445">
        <v>20</v>
      </c>
      <c r="B97" s="428">
        <f t="shared" si="119"/>
        <v>0.25094678094478751</v>
      </c>
      <c r="C97" s="428">
        <f t="shared" si="119"/>
        <v>0.26829268292682928</v>
      </c>
      <c r="D97" s="543"/>
      <c r="E97" s="427"/>
      <c r="F97" s="427"/>
      <c r="G97" s="427"/>
      <c r="H97" s="427"/>
      <c r="I97" s="428">
        <f t="shared" si="120"/>
        <v>0.10084908325774343</v>
      </c>
      <c r="J97" s="428">
        <f t="shared" si="120"/>
        <v>0.12540192926044999</v>
      </c>
      <c r="K97" s="543"/>
      <c r="L97" s="428">
        <f t="shared" si="120"/>
        <v>0.1762401191430861</v>
      </c>
      <c r="M97" s="428">
        <f t="shared" si="120"/>
        <v>0.16355140186915895</v>
      </c>
      <c r="N97" s="428"/>
      <c r="O97" s="428">
        <f t="shared" si="120"/>
        <v>0.26857081956730289</v>
      </c>
      <c r="P97" s="428">
        <f t="shared" si="120"/>
        <v>0.26351351351351376</v>
      </c>
      <c r="Q97" s="428"/>
      <c r="R97" s="428">
        <f t="shared" si="120"/>
        <v>0.19014253596140798</v>
      </c>
      <c r="S97" s="428">
        <f t="shared" si="120"/>
        <v>0.1974522292993626</v>
      </c>
      <c r="T97" s="428"/>
      <c r="U97" s="428">
        <f t="shared" si="120"/>
        <v>0.23482960832875421</v>
      </c>
      <c r="V97" s="428">
        <f t="shared" si="120"/>
        <v>0.24999999999999975</v>
      </c>
      <c r="W97" s="428"/>
      <c r="X97" s="428">
        <f t="shared" si="120"/>
        <v>0.14415246996460276</v>
      </c>
      <c r="Y97" s="428">
        <f t="shared" si="120"/>
        <v>0.14634146341463422</v>
      </c>
      <c r="Z97" s="428"/>
      <c r="AA97" s="428">
        <f t="shared" si="120"/>
        <v>0.22236246398682954</v>
      </c>
      <c r="AB97" s="428">
        <f t="shared" si="120"/>
        <v>0.18840579710144903</v>
      </c>
      <c r="AC97" s="428"/>
      <c r="AD97" s="428">
        <f t="shared" si="120"/>
        <v>0.21485516149288747</v>
      </c>
      <c r="AE97" s="428">
        <f t="shared" si="120"/>
        <v>0.2084432717678098</v>
      </c>
      <c r="AF97" s="428"/>
      <c r="AG97" s="428">
        <f t="shared" si="120"/>
        <v>0.26912514711651636</v>
      </c>
      <c r="AH97" s="428">
        <f t="shared" si="120"/>
        <v>0.29896907216494845</v>
      </c>
      <c r="AI97" s="428"/>
      <c r="AJ97" s="428">
        <f t="shared" si="120"/>
        <v>0.20331182272007803</v>
      </c>
      <c r="AK97" s="428">
        <f t="shared" si="120"/>
        <v>0.22486772486772469</v>
      </c>
      <c r="AL97" s="428"/>
      <c r="AM97" s="428">
        <f t="shared" si="122"/>
        <v>0.21523339357341226</v>
      </c>
      <c r="AN97" s="428">
        <f t="shared" si="120"/>
        <v>0.24922118380062294</v>
      </c>
      <c r="AO97" s="540"/>
      <c r="AP97" s="503">
        <f t="shared" si="117"/>
        <v>0.20685327386218152</v>
      </c>
      <c r="AQ97" s="503">
        <f t="shared" si="118"/>
        <v>0.21229446238053457</v>
      </c>
      <c r="AR97" s="503"/>
    </row>
    <row r="98" spans="1:50" outlineLevel="1" x14ac:dyDescent="0.25">
      <c r="A98" s="537">
        <v>21</v>
      </c>
      <c r="B98" s="428">
        <f t="shared" si="119"/>
        <v>0.38533984452860293</v>
      </c>
      <c r="C98" s="428">
        <f t="shared" si="119"/>
        <v>0.38211382113821152</v>
      </c>
      <c r="D98" s="543"/>
      <c r="E98" s="427"/>
      <c r="F98" s="427"/>
      <c r="G98" s="427"/>
      <c r="H98" s="427"/>
      <c r="I98" s="428">
        <f t="shared" si="120"/>
        <v>0.60041041502475878</v>
      </c>
      <c r="J98" s="428">
        <f t="shared" si="120"/>
        <v>0.57877813504823161</v>
      </c>
      <c r="K98" s="543"/>
      <c r="L98" s="428">
        <f t="shared" si="120"/>
        <v>0.33983274143659081</v>
      </c>
      <c r="M98" s="428">
        <f t="shared" si="120"/>
        <v>0.34579439252336447</v>
      </c>
      <c r="N98" s="428"/>
      <c r="O98" s="428">
        <f t="shared" si="120"/>
        <v>0.39070659703719485</v>
      </c>
      <c r="P98" s="428">
        <f t="shared" si="120"/>
        <v>0.38513513513513509</v>
      </c>
      <c r="Q98" s="428"/>
      <c r="R98" s="428">
        <f t="shared" si="120"/>
        <v>0.396830593936219</v>
      </c>
      <c r="S98" s="428">
        <f t="shared" si="120"/>
        <v>0.37898089171974542</v>
      </c>
      <c r="T98" s="428"/>
      <c r="U98" s="428">
        <f t="shared" si="120"/>
        <v>0.44919113827809176</v>
      </c>
      <c r="V98" s="428">
        <f t="shared" si="120"/>
        <v>0.45229007633587792</v>
      </c>
      <c r="W98" s="428"/>
      <c r="X98" s="428">
        <f t="shared" si="120"/>
        <v>0.44400076723220988</v>
      </c>
      <c r="Y98" s="428">
        <f t="shared" si="120"/>
        <v>0.45528455284552843</v>
      </c>
      <c r="Z98" s="428"/>
      <c r="AA98" s="428">
        <f t="shared" si="120"/>
        <v>0.42285635889696821</v>
      </c>
      <c r="AB98" s="428">
        <f t="shared" si="120"/>
        <v>0.42028985507246386</v>
      </c>
      <c r="AC98" s="428"/>
      <c r="AD98" s="428">
        <f t="shared" si="120"/>
        <v>0.39281131405793573</v>
      </c>
      <c r="AE98" s="428">
        <f t="shared" si="120"/>
        <v>0.38786279683377323</v>
      </c>
      <c r="AF98" s="428"/>
      <c r="AG98" s="428">
        <f t="shared" si="120"/>
        <v>0.47940368772067471</v>
      </c>
      <c r="AH98" s="428">
        <f t="shared" si="120"/>
        <v>0.43298969072164928</v>
      </c>
      <c r="AI98" s="428"/>
      <c r="AJ98" s="428">
        <f t="shared" si="120"/>
        <v>0.42566662608060402</v>
      </c>
      <c r="AK98" s="428">
        <f t="shared" si="120"/>
        <v>0.39947089947089959</v>
      </c>
      <c r="AL98" s="428"/>
      <c r="AM98" s="428">
        <f t="shared" si="122"/>
        <v>0.32741217437298903</v>
      </c>
      <c r="AN98" s="428">
        <f t="shared" si="120"/>
        <v>0.32398753894081</v>
      </c>
      <c r="AO98" s="540"/>
      <c r="AP98" s="503">
        <f t="shared" si="117"/>
        <v>0.42973182583907737</v>
      </c>
      <c r="AQ98" s="503">
        <f t="shared" si="118"/>
        <v>0.41990820425862546</v>
      </c>
      <c r="AR98" s="503"/>
    </row>
    <row r="99" spans="1:50" outlineLevel="1" x14ac:dyDescent="0.25"/>
    <row r="100" spans="1:50" outlineLevel="1" x14ac:dyDescent="0.25">
      <c r="A100" s="14" t="s">
        <v>330</v>
      </c>
      <c r="B100" s="22">
        <f>B98/B94</f>
        <v>4.388762769580036</v>
      </c>
      <c r="C100" s="22">
        <f>C98/C94</f>
        <v>5.2222222222222214</v>
      </c>
      <c r="E100" s="22"/>
      <c r="F100" s="22"/>
      <c r="G100" s="22"/>
      <c r="H100" s="22"/>
      <c r="I100" s="22">
        <f t="shared" ref="I100:AN100" si="123">I98/I94</f>
        <v>6.6246103363412647</v>
      </c>
      <c r="J100" s="22">
        <f t="shared" si="123"/>
        <v>6.9230769230769198</v>
      </c>
      <c r="L100" s="22">
        <f t="shared" si="123"/>
        <v>2.1863207547169838</v>
      </c>
      <c r="M100" s="22">
        <f t="shared" si="123"/>
        <v>1.7209302325581417</v>
      </c>
      <c r="N100" s="22"/>
      <c r="O100" s="22">
        <f t="shared" si="123"/>
        <v>4.5521523178808083</v>
      </c>
      <c r="P100" s="22">
        <f t="shared" si="123"/>
        <v>4.0714285714285756</v>
      </c>
      <c r="Q100" s="22"/>
      <c r="R100" s="22">
        <f t="shared" si="123"/>
        <v>3.6381829097458454</v>
      </c>
      <c r="S100" s="22">
        <f t="shared" si="123"/>
        <v>3.4999999999999867</v>
      </c>
      <c r="T100" s="22"/>
      <c r="U100" s="22">
        <f t="shared" si="123"/>
        <v>5.3144816530103363</v>
      </c>
      <c r="V100" s="22">
        <f t="shared" si="123"/>
        <v>9.1153846153845777</v>
      </c>
      <c r="W100" s="22"/>
      <c r="X100" s="22">
        <f t="shared" si="123"/>
        <v>3.6516563889287288</v>
      </c>
      <c r="Y100" s="22">
        <f t="shared" si="123"/>
        <v>3.999999999999996</v>
      </c>
      <c r="Z100" s="22"/>
      <c r="AA100" s="22">
        <f t="shared" si="123"/>
        <v>2.9231790591805793</v>
      </c>
      <c r="AB100" s="22">
        <f t="shared" si="123"/>
        <v>2.6363636363636336</v>
      </c>
      <c r="AC100" s="22"/>
      <c r="AD100" s="22">
        <f t="shared" si="123"/>
        <v>4.0694385518314373</v>
      </c>
      <c r="AE100" s="22">
        <f t="shared" si="123"/>
        <v>3.6749999999999967</v>
      </c>
      <c r="AF100" s="22"/>
      <c r="AG100" s="22">
        <f t="shared" si="123"/>
        <v>13.823529411764737</v>
      </c>
      <c r="AH100" s="22">
        <f t="shared" si="123"/>
        <v>13.99999999999995</v>
      </c>
      <c r="AI100" s="22"/>
      <c r="AJ100" s="22">
        <f t="shared" si="123"/>
        <v>4.8697590193620268</v>
      </c>
      <c r="AK100" s="22">
        <f t="shared" si="123"/>
        <v>4.7187500000000071</v>
      </c>
      <c r="AL100" s="22"/>
      <c r="AM100" s="22">
        <f t="shared" si="123"/>
        <v>3.0605686032138455</v>
      </c>
      <c r="AN100" s="22">
        <f t="shared" si="123"/>
        <v>3.5862068965517273</v>
      </c>
      <c r="AO100" s="22"/>
      <c r="AP100" s="503">
        <f t="shared" ref="AP100" si="124">AVERAGE(B100,I100,L100,O100,R100,U100,X100,AA100,AD100,AG100,AJ100)</f>
        <v>5.0947339247584358</v>
      </c>
      <c r="AQ100" s="503">
        <f t="shared" ref="AQ100" si="125">AVERAGE(C100,J100,M100,P100,S100,V100,Y100,AB100,AE100,AH100,AK100)</f>
        <v>5.4166505637303644</v>
      </c>
      <c r="AR100" s="503"/>
    </row>
    <row r="101" spans="1:50" outlineLevel="1" x14ac:dyDescent="0.25">
      <c r="A101" s="14" t="s">
        <v>334</v>
      </c>
      <c r="I101" s="685" t="s">
        <v>331</v>
      </c>
      <c r="J101" s="685"/>
      <c r="U101" s="685" t="s">
        <v>331</v>
      </c>
      <c r="V101" s="685"/>
      <c r="W101" s="513"/>
      <c r="X101" s="685" t="s">
        <v>332</v>
      </c>
      <c r="Y101" s="685"/>
      <c r="Z101" s="513"/>
    </row>
    <row r="102" spans="1:50" outlineLevel="1" x14ac:dyDescent="0.25">
      <c r="A102" s="14" t="s">
        <v>333</v>
      </c>
      <c r="L102" s="685" t="s">
        <v>332</v>
      </c>
      <c r="M102" s="685"/>
      <c r="N102" s="513"/>
      <c r="AA102" s="685" t="s">
        <v>332</v>
      </c>
      <c r="AB102" s="685"/>
      <c r="AC102" s="513"/>
      <c r="AG102" s="685" t="s">
        <v>331</v>
      </c>
      <c r="AH102" s="685"/>
      <c r="AI102" s="513"/>
    </row>
    <row r="103" spans="1:50" outlineLevel="1" x14ac:dyDescent="0.25"/>
    <row r="104" spans="1:50" outlineLevel="1" x14ac:dyDescent="0.25">
      <c r="A104" s="528" t="s">
        <v>379</v>
      </c>
    </row>
    <row r="105" spans="1:50" outlineLevel="1" x14ac:dyDescent="0.25">
      <c r="A105" s="443" t="s">
        <v>31</v>
      </c>
      <c r="B105" s="441" t="s">
        <v>70</v>
      </c>
      <c r="C105" s="433" t="s">
        <v>71</v>
      </c>
      <c r="D105" s="542"/>
      <c r="E105" s="435" t="s">
        <v>52</v>
      </c>
      <c r="F105" s="436" t="s">
        <v>53</v>
      </c>
      <c r="G105" s="437" t="s">
        <v>48</v>
      </c>
      <c r="H105" s="438" t="s">
        <v>49</v>
      </c>
      <c r="I105" s="435" t="s">
        <v>50</v>
      </c>
      <c r="J105" s="436" t="s">
        <v>51</v>
      </c>
      <c r="K105" s="542"/>
      <c r="L105" s="439" t="s">
        <v>136</v>
      </c>
      <c r="M105" s="442" t="s">
        <v>137</v>
      </c>
      <c r="N105" s="442"/>
      <c r="O105" s="441" t="s">
        <v>72</v>
      </c>
      <c r="P105" s="433" t="s">
        <v>73</v>
      </c>
      <c r="Q105" s="433"/>
      <c r="R105" s="437" t="s">
        <v>87</v>
      </c>
      <c r="S105" s="438" t="s">
        <v>88</v>
      </c>
      <c r="T105" s="438"/>
      <c r="U105" s="434" t="s">
        <v>94</v>
      </c>
      <c r="V105" s="434" t="s">
        <v>95</v>
      </c>
      <c r="W105" s="434"/>
      <c r="X105" s="434" t="s">
        <v>110</v>
      </c>
      <c r="Y105" s="434" t="s">
        <v>113</v>
      </c>
      <c r="Z105" s="434"/>
      <c r="AA105" s="439" t="s">
        <v>132</v>
      </c>
      <c r="AB105" s="442" t="s">
        <v>133</v>
      </c>
      <c r="AC105" s="442"/>
      <c r="AD105" s="437" t="s">
        <v>134</v>
      </c>
      <c r="AE105" s="438" t="s">
        <v>135</v>
      </c>
      <c r="AF105" s="438"/>
      <c r="AG105" s="439" t="s">
        <v>154</v>
      </c>
      <c r="AH105" s="442" t="s">
        <v>153</v>
      </c>
      <c r="AI105" s="442"/>
      <c r="AJ105" s="434" t="s">
        <v>169</v>
      </c>
      <c r="AK105" s="434" t="s">
        <v>170</v>
      </c>
      <c r="AL105" s="434"/>
      <c r="AM105" s="434" t="s">
        <v>199</v>
      </c>
      <c r="AN105" s="434" t="s">
        <v>200</v>
      </c>
      <c r="AO105" s="559"/>
      <c r="AP105" s="712" t="s">
        <v>380</v>
      </c>
      <c r="AQ105" s="712"/>
      <c r="AR105" s="512"/>
    </row>
    <row r="106" spans="1:50" outlineLevel="1" x14ac:dyDescent="0.25">
      <c r="A106" s="538" t="s">
        <v>410</v>
      </c>
      <c r="B106" s="530">
        <f>$AM$24/B49</f>
        <v>87468.167344173446</v>
      </c>
      <c r="C106" s="533">
        <f>$AN$24/C49</f>
        <v>1217.97</v>
      </c>
      <c r="D106" s="551">
        <f>B106/C106</f>
        <v>71.814714109685326</v>
      </c>
      <c r="E106" s="444"/>
      <c r="F106" s="444"/>
      <c r="G106" s="444"/>
      <c r="H106" s="444"/>
      <c r="I106" s="530">
        <f>$AM$24/I49</f>
        <v>100357.10935054174</v>
      </c>
      <c r="J106" s="533">
        <f>$AN$24/J49</f>
        <v>1382.0625</v>
      </c>
      <c r="K106" s="551">
        <f>I106/J106</f>
        <v>72.614016624097488</v>
      </c>
      <c r="L106" s="530">
        <f>$AM$24/L49</f>
        <v>87058.023791589352</v>
      </c>
      <c r="M106" s="533">
        <f>$AN$24/M49</f>
        <v>1186.4280821917807</v>
      </c>
      <c r="N106" s="533"/>
      <c r="O106" s="530">
        <f>$AM$24/O49</f>
        <v>87286.473852113471</v>
      </c>
      <c r="P106" s="533">
        <f>$AN$24/P49</f>
        <v>1189.4113636363636</v>
      </c>
      <c r="Q106" s="533"/>
      <c r="R106" s="530">
        <f>$AM$24/R49</f>
        <v>82924.805058466169</v>
      </c>
      <c r="S106" s="533">
        <f>$AN$24/S49</f>
        <v>1134.1048543689321</v>
      </c>
      <c r="T106" s="533"/>
      <c r="U106" s="530">
        <f>$AM$24/U49</f>
        <v>90438.331478436434</v>
      </c>
      <c r="V106" s="533">
        <f>$AN$24/V49</f>
        <v>1228.6235045742435</v>
      </c>
      <c r="W106" s="533"/>
      <c r="X106" s="530">
        <f>$AM$24/X49</f>
        <v>86091.14649434133</v>
      </c>
      <c r="Y106" s="533">
        <f>$AN$24/Y49</f>
        <v>1189.6581691772885</v>
      </c>
      <c r="Z106" s="533"/>
      <c r="AA106" s="530">
        <f>$AM$24/AA49</f>
        <v>88462.046368177165</v>
      </c>
      <c r="AB106" s="533">
        <f>$AN$24/AB49</f>
        <v>1217.1774193548388</v>
      </c>
      <c r="AC106" s="533"/>
      <c r="AD106" s="530">
        <f>$AM$24/AD49</f>
        <v>84075.915798552393</v>
      </c>
      <c r="AE106" s="533">
        <f>$AN$24/AE49</f>
        <v>1153.972602739726</v>
      </c>
      <c r="AF106" s="533"/>
      <c r="AG106" s="530">
        <f>$AM$24/AG49</f>
        <v>92152.283230473156</v>
      </c>
      <c r="AH106" s="533">
        <f>$AN$24/AH49</f>
        <v>1247.828193832599</v>
      </c>
      <c r="AI106" s="533"/>
      <c r="AJ106" s="530">
        <f>$AM$24/AJ49</f>
        <v>89120.692997727048</v>
      </c>
      <c r="AK106" s="533">
        <f>$AN$24/AK49</f>
        <v>1214.4243654822335</v>
      </c>
      <c r="AL106" s="533"/>
      <c r="AM106" s="530"/>
      <c r="AN106" s="533"/>
      <c r="AO106" s="533"/>
      <c r="AP106" s="530">
        <f t="shared" ref="AP106" si="126">AVERAGE(B106,I106,L106,O106,R106,U106,X106,AA106,AD106,AG106,AJ106)</f>
        <v>88675.908705871989</v>
      </c>
      <c r="AQ106" s="533">
        <f t="shared" ref="AQ106" si="127">AVERAGE(C106,J106,M106,P106,S106,V106,Y106,AB106,AE106,AH106,AK106)</f>
        <v>1214.6964595780005</v>
      </c>
      <c r="AR106" s="3"/>
    </row>
    <row r="107" spans="1:50" outlineLevel="1" x14ac:dyDescent="0.25">
      <c r="A107" s="536" t="s">
        <v>385</v>
      </c>
      <c r="AM107" s="725" t="s">
        <v>350</v>
      </c>
      <c r="AN107" s="725"/>
      <c r="AO107" s="558"/>
    </row>
    <row r="108" spans="1:50" outlineLevel="1" x14ac:dyDescent="0.25">
      <c r="A108" s="443" t="s">
        <v>31</v>
      </c>
      <c r="B108" s="441" t="s">
        <v>70</v>
      </c>
      <c r="C108" s="433" t="s">
        <v>71</v>
      </c>
      <c r="D108" s="542"/>
      <c r="E108" s="435" t="s">
        <v>52</v>
      </c>
      <c r="F108" s="436" t="s">
        <v>53</v>
      </c>
      <c r="G108" s="437" t="s">
        <v>48</v>
      </c>
      <c r="H108" s="438" t="s">
        <v>49</v>
      </c>
      <c r="I108" s="435" t="s">
        <v>50</v>
      </c>
      <c r="J108" s="436" t="s">
        <v>51</v>
      </c>
      <c r="K108" s="542"/>
      <c r="L108" s="439" t="s">
        <v>136</v>
      </c>
      <c r="M108" s="442" t="s">
        <v>137</v>
      </c>
      <c r="N108" s="442"/>
      <c r="O108" s="441" t="s">
        <v>72</v>
      </c>
      <c r="P108" s="433" t="s">
        <v>73</v>
      </c>
      <c r="Q108" s="433"/>
      <c r="R108" s="437" t="s">
        <v>87</v>
      </c>
      <c r="S108" s="438" t="s">
        <v>88</v>
      </c>
      <c r="T108" s="438"/>
      <c r="U108" s="434" t="s">
        <v>94</v>
      </c>
      <c r="V108" s="434" t="s">
        <v>95</v>
      </c>
      <c r="W108" s="434"/>
      <c r="X108" s="434" t="s">
        <v>110</v>
      </c>
      <c r="Y108" s="434" t="s">
        <v>113</v>
      </c>
      <c r="Z108" s="434"/>
      <c r="AA108" s="439" t="s">
        <v>132</v>
      </c>
      <c r="AB108" s="442" t="s">
        <v>133</v>
      </c>
      <c r="AC108" s="442"/>
      <c r="AD108" s="437" t="s">
        <v>134</v>
      </c>
      <c r="AE108" s="438" t="s">
        <v>135</v>
      </c>
      <c r="AF108" s="438"/>
      <c r="AG108" s="439" t="s">
        <v>154</v>
      </c>
      <c r="AH108" s="442" t="s">
        <v>153</v>
      </c>
      <c r="AI108" s="442"/>
      <c r="AJ108" s="434" t="s">
        <v>169</v>
      </c>
      <c r="AK108" s="434" t="s">
        <v>170</v>
      </c>
      <c r="AL108" s="434"/>
      <c r="AM108" s="434" t="s">
        <v>199</v>
      </c>
      <c r="AN108" s="434" t="s">
        <v>200</v>
      </c>
      <c r="AO108" s="559"/>
      <c r="AP108" s="683" t="s">
        <v>380</v>
      </c>
      <c r="AQ108" s="684"/>
      <c r="AR108" s="684"/>
      <c r="AS108" s="684" t="s">
        <v>381</v>
      </c>
      <c r="AT108" s="684"/>
      <c r="AU108" s="684"/>
      <c r="AV108" s="684" t="s">
        <v>382</v>
      </c>
      <c r="AW108" s="684"/>
      <c r="AX108" s="717"/>
    </row>
    <row r="109" spans="1:50" outlineLevel="1" x14ac:dyDescent="0.25">
      <c r="A109" s="444">
        <v>1</v>
      </c>
      <c r="B109" s="530">
        <f t="shared" ref="B109:AK109" si="128">B$106*B30</f>
        <v>20723.270508313191</v>
      </c>
      <c r="C109" s="533">
        <f t="shared" si="128"/>
        <v>256.23</v>
      </c>
      <c r="D109" s="551">
        <f t="shared" ref="D109:D129" si="129">B109/C109</f>
        <v>80.877611943617808</v>
      </c>
      <c r="E109" s="444">
        <f t="shared" si="128"/>
        <v>0</v>
      </c>
      <c r="F109" s="444">
        <f t="shared" si="128"/>
        <v>0</v>
      </c>
      <c r="G109" s="444">
        <f t="shared" si="128"/>
        <v>0</v>
      </c>
      <c r="H109" s="444">
        <f t="shared" si="128"/>
        <v>0</v>
      </c>
      <c r="I109" s="530">
        <f t="shared" si="128"/>
        <v>25537.119049445999</v>
      </c>
      <c r="J109" s="533">
        <f t="shared" si="128"/>
        <v>327.234375</v>
      </c>
      <c r="K109" s="551">
        <f t="shared" ref="K109:K129" si="130">I109/J109</f>
        <v>78.039231206825377</v>
      </c>
      <c r="L109" s="530">
        <f t="shared" si="128"/>
        <v>25620.371093678237</v>
      </c>
      <c r="M109" s="533">
        <f t="shared" si="128"/>
        <v>351.60102739726022</v>
      </c>
      <c r="N109" s="551">
        <f t="shared" ref="N109:N129" si="131">L109/M109</f>
        <v>72.867736716624506</v>
      </c>
      <c r="O109" s="530">
        <f t="shared" si="128"/>
        <v>19022.594761561151</v>
      </c>
      <c r="P109" s="533">
        <f t="shared" si="128"/>
        <v>275.21590909090907</v>
      </c>
      <c r="Q109" s="551">
        <f t="shared" ref="Q109:Q129" si="132">O109/P109</f>
        <v>69.118805029827058</v>
      </c>
      <c r="R109" s="530">
        <f t="shared" si="128"/>
        <v>31124.940424722838</v>
      </c>
      <c r="S109" s="533">
        <f t="shared" si="128"/>
        <v>425.97087378640782</v>
      </c>
      <c r="T109" s="551">
        <f t="shared" ref="T109:T129" si="133">R109/S109</f>
        <v>73.06823621074534</v>
      </c>
      <c r="U109" s="530">
        <f t="shared" si="128"/>
        <v>19214.269166596136</v>
      </c>
      <c r="V109" s="533">
        <f t="shared" si="128"/>
        <v>252.69035890218157</v>
      </c>
      <c r="W109" s="551">
        <f t="shared" ref="W109:W129" si="134">U109/V109</f>
        <v>76.038790122713507</v>
      </c>
      <c r="X109" s="530">
        <f t="shared" si="128"/>
        <v>28445.083212359259</v>
      </c>
      <c r="Y109" s="533">
        <f t="shared" si="128"/>
        <v>386.79142526071843</v>
      </c>
      <c r="Z109" s="551">
        <f t="shared" ref="Z109:Z129" si="135">X109/Y109</f>
        <v>73.541142214271503</v>
      </c>
      <c r="AA109" s="530">
        <f t="shared" si="128"/>
        <v>20537.629887063449</v>
      </c>
      <c r="AB109" s="533">
        <f t="shared" si="128"/>
        <v>256.64516129032262</v>
      </c>
      <c r="AC109" s="551">
        <f t="shared" ref="AC109:AC129" si="136">AA109/AB109</f>
        <v>80.023444758542837</v>
      </c>
      <c r="AD109" s="530">
        <f t="shared" si="128"/>
        <v>25184.550757627003</v>
      </c>
      <c r="AE109" s="533">
        <f t="shared" si="128"/>
        <v>335.88845401174171</v>
      </c>
      <c r="AF109" s="551">
        <f t="shared" ref="AF109:AF129" si="137">AD109/AE109</f>
        <v>74.978911769163176</v>
      </c>
      <c r="AG109" s="530">
        <f t="shared" si="128"/>
        <v>21245.768896409845</v>
      </c>
      <c r="AH109" s="533">
        <f t="shared" si="128"/>
        <v>310.79735682819381</v>
      </c>
      <c r="AI109" s="551">
        <f t="shared" ref="AI109:AI129" si="138">AG109/AH109</f>
        <v>68.35891113499504</v>
      </c>
      <c r="AJ109" s="530">
        <f t="shared" si="128"/>
        <v>14159.52619959955</v>
      </c>
      <c r="AK109" s="533">
        <f t="shared" si="128"/>
        <v>192.42639593908632</v>
      </c>
      <c r="AL109" s="551">
        <f t="shared" ref="AL109:AL129" si="139">AJ109/AK109</f>
        <v>73.58411578878102</v>
      </c>
      <c r="AM109" s="530">
        <f>AM5</f>
        <v>25960</v>
      </c>
      <c r="AN109" s="533">
        <f>AN5</f>
        <v>347</v>
      </c>
      <c r="AO109" s="551">
        <f t="shared" ref="AO109:AO129" si="140">AM109/AN109</f>
        <v>74.812680115273778</v>
      </c>
      <c r="AP109" s="530">
        <f t="shared" ref="AP109:AP129" si="141">AVERAGE(B109,I109,L109,O109,R109,U109,X109,AA109,AD109,AG109,AJ109)</f>
        <v>22801.374905216057</v>
      </c>
      <c r="AQ109" s="533">
        <f t="shared" ref="AQ109:AR129" si="142">AVERAGE(C109,J109,M109,P109,S109,V109,Y109,AB109,AE109,AH109,AK109)</f>
        <v>306.4992125006201</v>
      </c>
      <c r="AR109" s="551">
        <f t="shared" si="142"/>
        <v>74.590630626918838</v>
      </c>
      <c r="AS109" s="530">
        <f>MIN(B109,I109,L109,O109,R109,U109,X109,AA109,AD109,AG109,AJ109)</f>
        <v>14159.52619959955</v>
      </c>
      <c r="AT109" s="533">
        <f>MIN(C109,J109,M109,P109,S109,V109,Y109,AB109,AE109,AH109,AK109)</f>
        <v>192.42639593908632</v>
      </c>
      <c r="AU109" s="551">
        <f>MIN(D109,K109,N109,Q109,T109,W109,Z109,AC109,AF109,AI109,AL109)</f>
        <v>68.35891113499504</v>
      </c>
      <c r="AV109" s="530">
        <f>MAX(B109,I109,L109,O109,R109,U109,X109,AA109,AD109,AG109,AJ109)</f>
        <v>31124.940424722838</v>
      </c>
      <c r="AW109" s="533">
        <f>MAX(C109,J109,M109,P109,S109,V109,Y109,AB109,AE109,AH109,AK109)</f>
        <v>425.97087378640782</v>
      </c>
      <c r="AX109" s="551">
        <f>MAX(D109,K109,N109,Q109,T109,W109,Z109,AC109,AF109,AI109,AL109)</f>
        <v>80.877611943617808</v>
      </c>
    </row>
    <row r="110" spans="1:50" outlineLevel="1" x14ac:dyDescent="0.25">
      <c r="A110" s="445">
        <v>2</v>
      </c>
      <c r="B110" s="531">
        <f t="shared" ref="B110:AK110" si="143">B$106*B31</f>
        <v>23519.38980443859</v>
      </c>
      <c r="C110" s="534">
        <f t="shared" si="143"/>
        <v>287.82</v>
      </c>
      <c r="D110" s="552">
        <f t="shared" si="129"/>
        <v>81.715620194700122</v>
      </c>
      <c r="E110" s="445">
        <f t="shared" si="143"/>
        <v>0</v>
      </c>
      <c r="F110" s="445">
        <f t="shared" si="143"/>
        <v>0</v>
      </c>
      <c r="G110" s="445">
        <f t="shared" si="143"/>
        <v>0</v>
      </c>
      <c r="H110" s="445">
        <f t="shared" si="143"/>
        <v>0</v>
      </c>
      <c r="I110" s="531">
        <f t="shared" si="143"/>
        <v>29114.561538933736</v>
      </c>
      <c r="J110" s="534">
        <f t="shared" si="143"/>
        <v>376.59375</v>
      </c>
      <c r="K110" s="552">
        <f t="shared" si="130"/>
        <v>77.310262156325578</v>
      </c>
      <c r="L110" s="531">
        <f t="shared" si="143"/>
        <v>30024.158301335636</v>
      </c>
      <c r="M110" s="534">
        <f t="shared" si="143"/>
        <v>420.11815068493144</v>
      </c>
      <c r="N110" s="552">
        <f t="shared" si="131"/>
        <v>71.465987014334743</v>
      </c>
      <c r="O110" s="531">
        <f t="shared" si="143"/>
        <v>23794.732545921786</v>
      </c>
      <c r="P110" s="534">
        <f t="shared" si="143"/>
        <v>347.01136363636368</v>
      </c>
      <c r="Q110" s="552">
        <f t="shared" si="132"/>
        <v>68.570470709012568</v>
      </c>
      <c r="R110" s="531">
        <f t="shared" si="143"/>
        <v>39542.392413658861</v>
      </c>
      <c r="S110" s="534">
        <f t="shared" si="143"/>
        <v>537.7456310679612</v>
      </c>
      <c r="T110" s="552">
        <f t="shared" si="133"/>
        <v>73.533637707344624</v>
      </c>
      <c r="U110" s="531">
        <f t="shared" si="143"/>
        <v>22308.802645419481</v>
      </c>
      <c r="V110" s="534">
        <f t="shared" si="143"/>
        <v>299.37508796622097</v>
      </c>
      <c r="W110" s="552">
        <f t="shared" si="134"/>
        <v>74.51789925799244</v>
      </c>
      <c r="X110" s="531">
        <f t="shared" si="143"/>
        <v>37272.931794899181</v>
      </c>
      <c r="Y110" s="534">
        <f t="shared" si="143"/>
        <v>508.80764774044036</v>
      </c>
      <c r="Z110" s="552">
        <f t="shared" si="135"/>
        <v>73.255447241062967</v>
      </c>
      <c r="AA110" s="531">
        <f t="shared" si="143"/>
        <v>24911.049968907344</v>
      </c>
      <c r="AB110" s="534">
        <f t="shared" si="143"/>
        <v>324.58064516129036</v>
      </c>
      <c r="AC110" s="552">
        <f t="shared" si="136"/>
        <v>76.748414732272664</v>
      </c>
      <c r="AD110" s="531">
        <f t="shared" si="143"/>
        <v>31458.466708381249</v>
      </c>
      <c r="AE110" s="534">
        <f t="shared" si="143"/>
        <v>424.49706457925635</v>
      </c>
      <c r="AF110" s="552">
        <f t="shared" si="137"/>
        <v>74.107618952704797</v>
      </c>
      <c r="AG110" s="531">
        <f t="shared" si="143"/>
        <v>29065.79822815051</v>
      </c>
      <c r="AH110" s="534">
        <f t="shared" si="143"/>
        <v>412.85022026431716</v>
      </c>
      <c r="AI110" s="552">
        <f t="shared" si="138"/>
        <v>70.402767884056956</v>
      </c>
      <c r="AJ110" s="531">
        <f t="shared" si="143"/>
        <v>19890.7800232429</v>
      </c>
      <c r="AK110" s="534">
        <f t="shared" si="143"/>
        <v>273.67309644670053</v>
      </c>
      <c r="AL110" s="552">
        <f t="shared" si="139"/>
        <v>72.680801589559053</v>
      </c>
      <c r="AM110" s="531">
        <f t="shared" ref="AM110" si="144">AM6</f>
        <v>35712</v>
      </c>
      <c r="AN110" s="534">
        <f t="shared" ref="AN110:AN129" si="145">AN6</f>
        <v>483</v>
      </c>
      <c r="AO110" s="552">
        <f t="shared" si="140"/>
        <v>73.937888198757761</v>
      </c>
      <c r="AP110" s="531">
        <f t="shared" si="141"/>
        <v>28263.914906662656</v>
      </c>
      <c r="AQ110" s="534">
        <f t="shared" si="142"/>
        <v>383.00660523158928</v>
      </c>
      <c r="AR110" s="552">
        <f t="shared" si="142"/>
        <v>74.028084312669677</v>
      </c>
      <c r="AS110" s="531">
        <f t="shared" ref="AS110:AS129" si="146">MIN(B110,I110,L110,O110,R110,U110,X110,AA110,AD110,AG110,AJ110)</f>
        <v>19890.7800232429</v>
      </c>
      <c r="AT110" s="534">
        <f t="shared" ref="AT110:AU129" si="147">MIN(C110,J110,M110,P110,S110,V110,Y110,AB110,AE110,AH110,AK110)</f>
        <v>273.67309644670053</v>
      </c>
      <c r="AU110" s="552">
        <f t="shared" si="147"/>
        <v>68.570470709012568</v>
      </c>
      <c r="AV110" s="531">
        <f t="shared" ref="AV110:AV129" si="148">MAX(B110,I110,L110,O110,R110,U110,X110,AA110,AD110,AG110,AJ110)</f>
        <v>39542.392413658861</v>
      </c>
      <c r="AW110" s="534">
        <f t="shared" ref="AW110:AX129" si="149">MAX(C110,J110,M110,P110,S110,V110,Y110,AB110,AE110,AH110,AK110)</f>
        <v>537.7456310679612</v>
      </c>
      <c r="AX110" s="552">
        <f t="shared" si="149"/>
        <v>81.715620194700122</v>
      </c>
    </row>
    <row r="111" spans="1:50" outlineLevel="1" x14ac:dyDescent="0.25">
      <c r="A111" s="444">
        <v>3</v>
      </c>
      <c r="B111" s="530">
        <f t="shared" ref="B111:AK111" si="150">B$106*B32</f>
        <v>24796.09254376328</v>
      </c>
      <c r="C111" s="533">
        <f t="shared" si="150"/>
        <v>315.89999999999998</v>
      </c>
      <c r="D111" s="551">
        <f t="shared" si="129"/>
        <v>78.493487001466548</v>
      </c>
      <c r="E111" s="444">
        <f t="shared" si="150"/>
        <v>0</v>
      </c>
      <c r="F111" s="444">
        <f t="shared" si="150"/>
        <v>0</v>
      </c>
      <c r="G111" s="444">
        <f t="shared" si="150"/>
        <v>0</v>
      </c>
      <c r="H111" s="444">
        <f t="shared" si="150"/>
        <v>0</v>
      </c>
      <c r="I111" s="530">
        <f t="shared" si="150"/>
        <v>31689.02672569903</v>
      </c>
      <c r="J111" s="533">
        <f t="shared" si="150"/>
        <v>409.5</v>
      </c>
      <c r="K111" s="551">
        <f t="shared" si="130"/>
        <v>77.384680648837687</v>
      </c>
      <c r="L111" s="530">
        <f t="shared" si="150"/>
        <v>31863.937710128419</v>
      </c>
      <c r="M111" s="533">
        <f t="shared" si="150"/>
        <v>447.16438356164377</v>
      </c>
      <c r="N111" s="551">
        <f t="shared" si="131"/>
        <v>71.257772044216978</v>
      </c>
      <c r="O111" s="530">
        <f t="shared" si="150"/>
        <v>26839.395250212045</v>
      </c>
      <c r="P111" s="533">
        <f t="shared" si="150"/>
        <v>387.69545454545454</v>
      </c>
      <c r="Q111" s="551">
        <f t="shared" si="132"/>
        <v>69.228036943789647</v>
      </c>
      <c r="R111" s="530">
        <f t="shared" si="150"/>
        <v>42496.200767778646</v>
      </c>
      <c r="S111" s="533">
        <f t="shared" si="150"/>
        <v>580.68349514563101</v>
      </c>
      <c r="T111" s="551">
        <f t="shared" si="133"/>
        <v>73.183069818646942</v>
      </c>
      <c r="U111" s="530">
        <f t="shared" si="150"/>
        <v>26667.134148037094</v>
      </c>
      <c r="V111" s="533">
        <f t="shared" si="150"/>
        <v>355.69317382125269</v>
      </c>
      <c r="W111" s="551">
        <f t="shared" si="134"/>
        <v>74.972296661049199</v>
      </c>
      <c r="X111" s="530">
        <f t="shared" si="150"/>
        <v>41101.147620735363</v>
      </c>
      <c r="Y111" s="533">
        <f t="shared" si="150"/>
        <v>558.83429895712629</v>
      </c>
      <c r="Z111" s="551">
        <f t="shared" si="135"/>
        <v>73.548004654396919</v>
      </c>
      <c r="AA111" s="530">
        <f t="shared" si="150"/>
        <v>29349.022376682515</v>
      </c>
      <c r="AB111" s="533">
        <f t="shared" si="150"/>
        <v>375.5322580645161</v>
      </c>
      <c r="AC111" s="551">
        <f t="shared" si="136"/>
        <v>78.153132644174548</v>
      </c>
      <c r="AD111" s="530">
        <f t="shared" si="150"/>
        <v>37274.731458431983</v>
      </c>
      <c r="AE111" s="533">
        <f t="shared" si="150"/>
        <v>502.11545988258314</v>
      </c>
      <c r="AF111" s="551">
        <f t="shared" si="137"/>
        <v>74.235378984643233</v>
      </c>
      <c r="AG111" s="530">
        <f t="shared" si="150"/>
        <v>33451.217798128608</v>
      </c>
      <c r="AH111" s="533">
        <f t="shared" si="150"/>
        <v>468.51541850220258</v>
      </c>
      <c r="AI111" s="551">
        <f t="shared" si="138"/>
        <v>71.398328586642549</v>
      </c>
      <c r="AJ111" s="530">
        <f t="shared" si="150"/>
        <v>23419.218375890861</v>
      </c>
      <c r="AK111" s="533">
        <f t="shared" si="150"/>
        <v>321.77969543147208</v>
      </c>
      <c r="AL111" s="551">
        <f t="shared" si="139"/>
        <v>72.780286352400822</v>
      </c>
      <c r="AM111" s="530">
        <f t="shared" ref="AM111" si="151">AM7</f>
        <v>39341</v>
      </c>
      <c r="AN111" s="533">
        <f t="shared" si="145"/>
        <v>536</v>
      </c>
      <c r="AO111" s="551">
        <f t="shared" si="140"/>
        <v>73.397388059701498</v>
      </c>
      <c r="AP111" s="530">
        <f t="shared" si="141"/>
        <v>31722.465888680716</v>
      </c>
      <c r="AQ111" s="533">
        <f t="shared" si="142"/>
        <v>429.40123981017115</v>
      </c>
      <c r="AR111" s="551">
        <f t="shared" si="142"/>
        <v>74.05767948547863</v>
      </c>
      <c r="AS111" s="530">
        <f t="shared" si="146"/>
        <v>23419.218375890861</v>
      </c>
      <c r="AT111" s="533">
        <f t="shared" si="147"/>
        <v>315.89999999999998</v>
      </c>
      <c r="AU111" s="551">
        <f t="shared" si="147"/>
        <v>69.228036943789647</v>
      </c>
      <c r="AV111" s="530">
        <f t="shared" si="148"/>
        <v>42496.200767778646</v>
      </c>
      <c r="AW111" s="533">
        <f t="shared" si="149"/>
        <v>580.68349514563101</v>
      </c>
      <c r="AX111" s="551">
        <f t="shared" si="149"/>
        <v>78.493487001466548</v>
      </c>
    </row>
    <row r="112" spans="1:50" outlineLevel="1" x14ac:dyDescent="0.25">
      <c r="A112" s="445">
        <v>4</v>
      </c>
      <c r="B112" s="531">
        <f t="shared" ref="B112:AK112" si="152">B$106*B33</f>
        <v>26489.47738592251</v>
      </c>
      <c r="C112" s="534">
        <f t="shared" si="152"/>
        <v>333.45</v>
      </c>
      <c r="D112" s="552">
        <f t="shared" si="129"/>
        <v>79.440627937989234</v>
      </c>
      <c r="E112" s="445">
        <f t="shared" si="152"/>
        <v>0</v>
      </c>
      <c r="F112" s="445">
        <f t="shared" si="152"/>
        <v>0</v>
      </c>
      <c r="G112" s="445">
        <f t="shared" si="152"/>
        <v>0</v>
      </c>
      <c r="H112" s="445">
        <f t="shared" si="152"/>
        <v>0</v>
      </c>
      <c r="I112" s="531">
        <f t="shared" si="152"/>
        <v>35252.947246861673</v>
      </c>
      <c r="J112" s="534">
        <f t="shared" si="152"/>
        <v>451.54687500000006</v>
      </c>
      <c r="K112" s="552">
        <f t="shared" si="130"/>
        <v>78.071511948480804</v>
      </c>
      <c r="L112" s="531">
        <f t="shared" si="152"/>
        <v>33752.984356341054</v>
      </c>
      <c r="M112" s="534">
        <f t="shared" si="152"/>
        <v>476.01369863013696</v>
      </c>
      <c r="N112" s="552">
        <f t="shared" si="131"/>
        <v>70.907590377072637</v>
      </c>
      <c r="O112" s="531">
        <f t="shared" si="152"/>
        <v>29412.663856291063</v>
      </c>
      <c r="P112" s="534">
        <f t="shared" si="152"/>
        <v>425.98636363636365</v>
      </c>
      <c r="Q112" s="552">
        <f t="shared" si="132"/>
        <v>69.046022049191009</v>
      </c>
      <c r="R112" s="531">
        <f t="shared" si="152"/>
        <v>44259.953172745671</v>
      </c>
      <c r="S112" s="534">
        <f t="shared" si="152"/>
        <v>607.26407766990292</v>
      </c>
      <c r="T112" s="552">
        <f t="shared" si="133"/>
        <v>72.884194537857269</v>
      </c>
      <c r="U112" s="531">
        <f t="shared" si="152"/>
        <v>28678.974615821735</v>
      </c>
      <c r="V112" s="534">
        <f t="shared" si="152"/>
        <v>385.33427163969031</v>
      </c>
      <c r="W112" s="552">
        <f t="shared" si="134"/>
        <v>74.426223480682836</v>
      </c>
      <c r="X112" s="531">
        <f t="shared" si="152"/>
        <v>43644.487587817464</v>
      </c>
      <c r="Y112" s="534">
        <f t="shared" si="152"/>
        <v>592.99884125144843</v>
      </c>
      <c r="Z112" s="552">
        <f t="shared" si="135"/>
        <v>73.599616983586913</v>
      </c>
      <c r="AA112" s="531">
        <f t="shared" si="152"/>
        <v>31966.465497181602</v>
      </c>
      <c r="AB112" s="534">
        <f t="shared" si="152"/>
        <v>411.38709677419359</v>
      </c>
      <c r="AC112" s="552">
        <f t="shared" si="136"/>
        <v>77.70410338058727</v>
      </c>
      <c r="AD112" s="531">
        <f t="shared" si="152"/>
        <v>40644.143073124535</v>
      </c>
      <c r="AE112" s="534">
        <f t="shared" si="152"/>
        <v>547.45009784735805</v>
      </c>
      <c r="AF112" s="552">
        <f t="shared" si="137"/>
        <v>74.242644640931417</v>
      </c>
      <c r="AG112" s="531">
        <f t="shared" si="152"/>
        <v>36189.244973123634</v>
      </c>
      <c r="AH112" s="534">
        <f t="shared" si="152"/>
        <v>510.26431718061667</v>
      </c>
      <c r="AI112" s="552">
        <f t="shared" si="138"/>
        <v>70.922546912708853</v>
      </c>
      <c r="AJ112" s="531">
        <f t="shared" si="152"/>
        <v>24972.63240283955</v>
      </c>
      <c r="AK112" s="534">
        <f t="shared" si="152"/>
        <v>345.29847715736037</v>
      </c>
      <c r="AL112" s="552">
        <f t="shared" si="139"/>
        <v>72.321872394064897</v>
      </c>
      <c r="AM112" s="531">
        <f t="shared" ref="AM112" si="153">AM8</f>
        <v>43256</v>
      </c>
      <c r="AN112" s="534">
        <f t="shared" si="145"/>
        <v>585</v>
      </c>
      <c r="AO112" s="552">
        <f t="shared" si="140"/>
        <v>73.941880341880335</v>
      </c>
      <c r="AP112" s="531">
        <f t="shared" si="141"/>
        <v>34114.906742551859</v>
      </c>
      <c r="AQ112" s="534">
        <f t="shared" si="142"/>
        <v>462.45401061700647</v>
      </c>
      <c r="AR112" s="552">
        <f t="shared" si="142"/>
        <v>73.960632240286657</v>
      </c>
      <c r="AS112" s="531">
        <f t="shared" si="146"/>
        <v>24972.63240283955</v>
      </c>
      <c r="AT112" s="534">
        <f t="shared" si="147"/>
        <v>333.45</v>
      </c>
      <c r="AU112" s="552">
        <f t="shared" si="147"/>
        <v>69.046022049191009</v>
      </c>
      <c r="AV112" s="531">
        <f t="shared" si="148"/>
        <v>44259.953172745671</v>
      </c>
      <c r="AW112" s="534">
        <f t="shared" si="149"/>
        <v>607.26407766990292</v>
      </c>
      <c r="AX112" s="552">
        <f t="shared" si="149"/>
        <v>79.440627937989234</v>
      </c>
    </row>
    <row r="113" spans="1:50" outlineLevel="1" x14ac:dyDescent="0.25">
      <c r="A113" s="444">
        <v>5</v>
      </c>
      <c r="B113" s="530">
        <f t="shared" ref="B113:AK113" si="154">B$106*B34</f>
        <v>30705.402365780417</v>
      </c>
      <c r="C113" s="533">
        <f t="shared" si="154"/>
        <v>389.61</v>
      </c>
      <c r="D113" s="551">
        <f t="shared" si="129"/>
        <v>78.810611549447955</v>
      </c>
      <c r="E113" s="444">
        <f t="shared" si="154"/>
        <v>0</v>
      </c>
      <c r="F113" s="444">
        <f t="shared" si="154"/>
        <v>0</v>
      </c>
      <c r="G113" s="444">
        <f t="shared" si="154"/>
        <v>0</v>
      </c>
      <c r="H113" s="444">
        <f t="shared" si="154"/>
        <v>0</v>
      </c>
      <c r="I113" s="530">
        <f t="shared" si="154"/>
        <v>37106.04481906633</v>
      </c>
      <c r="J113" s="533">
        <f t="shared" si="154"/>
        <v>482.625</v>
      </c>
      <c r="K113" s="551">
        <f t="shared" si="130"/>
        <v>76.883801748907189</v>
      </c>
      <c r="L113" s="530">
        <f t="shared" si="154"/>
        <v>35727.896759199721</v>
      </c>
      <c r="M113" s="533">
        <f t="shared" si="154"/>
        <v>504.86301369863008</v>
      </c>
      <c r="N113" s="551">
        <f t="shared" si="131"/>
        <v>70.767506808345672</v>
      </c>
      <c r="O113" s="530">
        <f t="shared" si="154"/>
        <v>31640.631435696832</v>
      </c>
      <c r="P113" s="533">
        <f t="shared" si="154"/>
        <v>457.0977272727273</v>
      </c>
      <c r="Q113" s="551">
        <f t="shared" si="132"/>
        <v>69.220714844680145</v>
      </c>
      <c r="R113" s="530">
        <f t="shared" si="154"/>
        <v>45532.907219201712</v>
      </c>
      <c r="S113" s="533">
        <f t="shared" si="154"/>
        <v>625.66601941747581</v>
      </c>
      <c r="T113" s="551">
        <f t="shared" si="133"/>
        <v>72.775100143036326</v>
      </c>
      <c r="U113" s="530">
        <f t="shared" si="154"/>
        <v>30570.618789974487</v>
      </c>
      <c r="V113" s="533">
        <f t="shared" si="154"/>
        <v>417.93947923997189</v>
      </c>
      <c r="W113" s="551">
        <f t="shared" si="134"/>
        <v>73.146042210627087</v>
      </c>
      <c r="X113" s="530">
        <f t="shared" si="154"/>
        <v>44776.472891288417</v>
      </c>
      <c r="Y113" s="533">
        <f t="shared" si="154"/>
        <v>606.42062572421787</v>
      </c>
      <c r="Z113" s="551">
        <f t="shared" si="135"/>
        <v>73.837318507783451</v>
      </c>
      <c r="AA113" s="530">
        <f t="shared" si="154"/>
        <v>34088.238972136969</v>
      </c>
      <c r="AB113" s="533">
        <f t="shared" si="154"/>
        <v>443.4677419354839</v>
      </c>
      <c r="AC113" s="551">
        <f t="shared" si="136"/>
        <v>76.867460129932425</v>
      </c>
      <c r="AD113" s="530">
        <f t="shared" si="154"/>
        <v>43263.587204897522</v>
      </c>
      <c r="AE113" s="533">
        <f t="shared" si="154"/>
        <v>581.79452054794513</v>
      </c>
      <c r="AF113" s="551">
        <f t="shared" si="137"/>
        <v>74.362314660768988</v>
      </c>
      <c r="AG113" s="530">
        <f t="shared" si="154"/>
        <v>38172.217300418073</v>
      </c>
      <c r="AH113" s="533">
        <f t="shared" si="154"/>
        <v>538.09691629955944</v>
      </c>
      <c r="AI113" s="551">
        <f t="shared" si="138"/>
        <v>70.939297632338665</v>
      </c>
      <c r="AJ113" s="530">
        <f t="shared" si="154"/>
        <v>27017.031111878612</v>
      </c>
      <c r="AK113" s="533">
        <f t="shared" si="154"/>
        <v>375.23147208121827</v>
      </c>
      <c r="AL113" s="551">
        <f t="shared" si="139"/>
        <v>72.000973058120294</v>
      </c>
      <c r="AM113" s="530">
        <f t="shared" ref="AM113" si="155">AM9</f>
        <v>44966</v>
      </c>
      <c r="AN113" s="533">
        <f t="shared" si="145"/>
        <v>611</v>
      </c>
      <c r="AO113" s="551">
        <f t="shared" si="140"/>
        <v>73.594108019639933</v>
      </c>
      <c r="AP113" s="530">
        <f t="shared" si="141"/>
        <v>36236.458988139922</v>
      </c>
      <c r="AQ113" s="533">
        <f t="shared" si="142"/>
        <v>492.9829560197482</v>
      </c>
      <c r="AR113" s="551">
        <f t="shared" si="142"/>
        <v>73.601012844908027</v>
      </c>
      <c r="AS113" s="530">
        <f t="shared" si="146"/>
        <v>27017.031111878612</v>
      </c>
      <c r="AT113" s="533">
        <f t="shared" si="147"/>
        <v>375.23147208121827</v>
      </c>
      <c r="AU113" s="551">
        <f t="shared" si="147"/>
        <v>69.220714844680145</v>
      </c>
      <c r="AV113" s="530">
        <f t="shared" si="148"/>
        <v>45532.907219201712</v>
      </c>
      <c r="AW113" s="533">
        <f t="shared" si="149"/>
        <v>625.66601941747581</v>
      </c>
      <c r="AX113" s="551">
        <f t="shared" si="149"/>
        <v>78.810611549447955</v>
      </c>
    </row>
    <row r="114" spans="1:50" outlineLevel="1" x14ac:dyDescent="0.25">
      <c r="A114" s="445">
        <v>6</v>
      </c>
      <c r="B114" s="531">
        <f t="shared" ref="B114:AK114" si="156">B$106*B35</f>
        <v>31666.43684538197</v>
      </c>
      <c r="C114" s="534">
        <f t="shared" si="156"/>
        <v>403.65</v>
      </c>
      <c r="D114" s="552">
        <f t="shared" si="129"/>
        <v>78.450233730662632</v>
      </c>
      <c r="E114" s="445">
        <f t="shared" si="156"/>
        <v>0</v>
      </c>
      <c r="F114" s="445">
        <f t="shared" si="156"/>
        <v>0</v>
      </c>
      <c r="G114" s="445">
        <f t="shared" si="156"/>
        <v>0</v>
      </c>
      <c r="H114" s="445">
        <f t="shared" si="156"/>
        <v>0</v>
      </c>
      <c r="I114" s="531">
        <f t="shared" si="156"/>
        <v>38301.26923667168</v>
      </c>
      <c r="J114" s="534">
        <f t="shared" si="156"/>
        <v>500.90625</v>
      </c>
      <c r="K114" s="552">
        <f t="shared" si="130"/>
        <v>76.463947568375673</v>
      </c>
      <c r="L114" s="531">
        <f t="shared" si="156"/>
        <v>37885.801758189271</v>
      </c>
      <c r="M114" s="534">
        <f t="shared" si="156"/>
        <v>530.10616438356158</v>
      </c>
      <c r="N114" s="552">
        <f t="shared" si="131"/>
        <v>71.468328994523375</v>
      </c>
      <c r="O114" s="531">
        <f t="shared" si="156"/>
        <v>36354.57241780917</v>
      </c>
      <c r="P114" s="534">
        <f t="shared" si="156"/>
        <v>526.5</v>
      </c>
      <c r="Q114" s="552">
        <f t="shared" si="132"/>
        <v>69.049520261745812</v>
      </c>
      <c r="R114" s="531">
        <f t="shared" si="156"/>
        <v>47030.969488041941</v>
      </c>
      <c r="S114" s="534">
        <f t="shared" si="156"/>
        <v>649.52038834951463</v>
      </c>
      <c r="T114" s="552">
        <f t="shared" si="133"/>
        <v>72.408765500882197</v>
      </c>
      <c r="U114" s="531">
        <f t="shared" si="156"/>
        <v>34960.446816549585</v>
      </c>
      <c r="V114" s="534">
        <f t="shared" si="156"/>
        <v>483.14989444053481</v>
      </c>
      <c r="W114" s="552">
        <f t="shared" si="134"/>
        <v>72.35942141109679</v>
      </c>
      <c r="X114" s="531">
        <f t="shared" si="156"/>
        <v>45829.22294348124</v>
      </c>
      <c r="Y114" s="534">
        <f t="shared" si="156"/>
        <v>619.8424101969872</v>
      </c>
      <c r="Z114" s="552">
        <f t="shared" si="135"/>
        <v>73.93689458731393</v>
      </c>
      <c r="AA114" s="531">
        <f t="shared" si="156"/>
        <v>35010.415056869475</v>
      </c>
      <c r="AB114" s="534">
        <f t="shared" si="156"/>
        <v>454.79032258064518</v>
      </c>
      <c r="AC114" s="552">
        <f t="shared" si="136"/>
        <v>76.98144247706874</v>
      </c>
      <c r="AD114" s="531">
        <f t="shared" si="156"/>
        <v>45595.638821619425</v>
      </c>
      <c r="AE114" s="534">
        <f t="shared" si="156"/>
        <v>618.8864970645792</v>
      </c>
      <c r="AF114" s="552">
        <f t="shared" si="137"/>
        <v>73.673668819537411</v>
      </c>
      <c r="AG114" s="531">
        <f t="shared" si="156"/>
        <v>41278.873946512707</v>
      </c>
      <c r="AH114" s="534">
        <f t="shared" si="156"/>
        <v>570.56828193832587</v>
      </c>
      <c r="AI114" s="552">
        <f t="shared" si="138"/>
        <v>72.346948214998463</v>
      </c>
      <c r="AJ114" s="531">
        <f t="shared" si="156"/>
        <v>30540.10546581474</v>
      </c>
      <c r="AK114" s="534">
        <f t="shared" si="156"/>
        <v>422.26903553299491</v>
      </c>
      <c r="AL114" s="552">
        <f t="shared" si="139"/>
        <v>72.323809931425629</v>
      </c>
      <c r="AM114" s="531">
        <f t="shared" ref="AM114" si="157">AM10</f>
        <v>46520</v>
      </c>
      <c r="AN114" s="534">
        <f t="shared" si="145"/>
        <v>633</v>
      </c>
      <c r="AO114" s="552">
        <f t="shared" si="140"/>
        <v>73.491311216429693</v>
      </c>
      <c r="AP114" s="531">
        <f t="shared" si="141"/>
        <v>38586.704799721934</v>
      </c>
      <c r="AQ114" s="534">
        <f t="shared" si="142"/>
        <v>525.47174949883117</v>
      </c>
      <c r="AR114" s="552">
        <f t="shared" si="142"/>
        <v>73.587543772511879</v>
      </c>
      <c r="AS114" s="531">
        <f t="shared" si="146"/>
        <v>30540.10546581474</v>
      </c>
      <c r="AT114" s="534">
        <f t="shared" si="147"/>
        <v>403.65</v>
      </c>
      <c r="AU114" s="552">
        <f t="shared" si="147"/>
        <v>69.049520261745812</v>
      </c>
      <c r="AV114" s="531">
        <f t="shared" si="148"/>
        <v>47030.969488041941</v>
      </c>
      <c r="AW114" s="534">
        <f t="shared" si="149"/>
        <v>649.52038834951463</v>
      </c>
      <c r="AX114" s="552">
        <f t="shared" si="149"/>
        <v>78.450233730662632</v>
      </c>
    </row>
    <row r="115" spans="1:50" outlineLevel="1" x14ac:dyDescent="0.25">
      <c r="A115" s="444">
        <v>7</v>
      </c>
      <c r="B115" s="530">
        <f t="shared" ref="B115:AK115" si="158">B$106*B36</f>
        <v>33923.815644913208</v>
      </c>
      <c r="C115" s="533">
        <f t="shared" si="158"/>
        <v>435.24</v>
      </c>
      <c r="D115" s="551">
        <f t="shared" si="129"/>
        <v>77.942780178552539</v>
      </c>
      <c r="E115" s="444">
        <f t="shared" si="158"/>
        <v>0</v>
      </c>
      <c r="F115" s="444">
        <f t="shared" si="158"/>
        <v>0</v>
      </c>
      <c r="G115" s="444">
        <f t="shared" si="158"/>
        <v>0</v>
      </c>
      <c r="H115" s="444">
        <f t="shared" si="158"/>
        <v>0</v>
      </c>
      <c r="I115" s="530">
        <f t="shared" si="158"/>
        <v>40932.173943402602</v>
      </c>
      <c r="J115" s="533">
        <f t="shared" si="158"/>
        <v>539.296875</v>
      </c>
      <c r="K115" s="551">
        <f t="shared" si="130"/>
        <v>75.89914913451446</v>
      </c>
      <c r="L115" s="530">
        <f t="shared" si="158"/>
        <v>39400.417400011022</v>
      </c>
      <c r="M115" s="533">
        <f t="shared" si="158"/>
        <v>555.34931506849307</v>
      </c>
      <c r="N115" s="551">
        <f t="shared" si="131"/>
        <v>70.9470892120424</v>
      </c>
      <c r="O115" s="530">
        <f t="shared" si="158"/>
        <v>39014.166280556499</v>
      </c>
      <c r="P115" s="533">
        <f t="shared" si="158"/>
        <v>564.79090909090905</v>
      </c>
      <c r="Q115" s="551">
        <f t="shared" si="132"/>
        <v>69.077185295623721</v>
      </c>
      <c r="R115" s="530">
        <f t="shared" si="158"/>
        <v>51090.548278156792</v>
      </c>
      <c r="S115" s="533">
        <f t="shared" si="158"/>
        <v>711.54174757281555</v>
      </c>
      <c r="T115" s="551">
        <f t="shared" si="133"/>
        <v>71.802601115725039</v>
      </c>
      <c r="U115" s="530">
        <f t="shared" si="158"/>
        <v>38094.814134495631</v>
      </c>
      <c r="V115" s="533">
        <f t="shared" si="158"/>
        <v>525.38845883180863</v>
      </c>
      <c r="W115" s="551">
        <f t="shared" si="134"/>
        <v>72.50790057170029</v>
      </c>
      <c r="X115" s="530">
        <f t="shared" si="158"/>
        <v>47136.790587812611</v>
      </c>
      <c r="Y115" s="533">
        <f t="shared" si="158"/>
        <v>638.14484356894559</v>
      </c>
      <c r="Z115" s="551">
        <f t="shared" si="135"/>
        <v>73.865347440858727</v>
      </c>
      <c r="AA115" s="530">
        <f t="shared" si="158"/>
        <v>38438.604651862552</v>
      </c>
      <c r="AB115" s="533">
        <f t="shared" si="158"/>
        <v>494.41935483870975</v>
      </c>
      <c r="AC115" s="551">
        <f t="shared" si="136"/>
        <v>77.744943185733604</v>
      </c>
      <c r="AD115" s="530">
        <f t="shared" si="158"/>
        <v>47911.623408645064</v>
      </c>
      <c r="AE115" s="533">
        <f t="shared" si="158"/>
        <v>654.60469667318978</v>
      </c>
      <c r="AF115" s="551">
        <f t="shared" si="137"/>
        <v>73.191689048581409</v>
      </c>
      <c r="AG115" s="530">
        <f t="shared" si="158"/>
        <v>42524.587331607938</v>
      </c>
      <c r="AH115" s="533">
        <f t="shared" si="158"/>
        <v>589.12334801762108</v>
      </c>
      <c r="AI115" s="551">
        <f t="shared" si="138"/>
        <v>72.182824657521465</v>
      </c>
      <c r="AJ115" s="530">
        <f t="shared" si="158"/>
        <v>33774.954288968023</v>
      </c>
      <c r="AK115" s="533">
        <f t="shared" si="158"/>
        <v>465.03045685279187</v>
      </c>
      <c r="AL115" s="551">
        <f t="shared" si="139"/>
        <v>72.629553164212822</v>
      </c>
      <c r="AM115" s="530">
        <f t="shared" ref="AM115" si="159">AM11</f>
        <v>48572</v>
      </c>
      <c r="AN115" s="533">
        <f t="shared" si="145"/>
        <v>661</v>
      </c>
      <c r="AO115" s="551">
        <f t="shared" si="140"/>
        <v>73.48260211800303</v>
      </c>
      <c r="AP115" s="530">
        <f t="shared" si="141"/>
        <v>41112.954177311993</v>
      </c>
      <c r="AQ115" s="533">
        <f t="shared" si="142"/>
        <v>561.17545504684415</v>
      </c>
      <c r="AR115" s="551">
        <f t="shared" si="142"/>
        <v>73.435551182278786</v>
      </c>
      <c r="AS115" s="530">
        <f t="shared" si="146"/>
        <v>33774.954288968023</v>
      </c>
      <c r="AT115" s="533">
        <f t="shared" si="147"/>
        <v>435.24</v>
      </c>
      <c r="AU115" s="551">
        <f t="shared" si="147"/>
        <v>69.077185295623721</v>
      </c>
      <c r="AV115" s="530">
        <f t="shared" si="148"/>
        <v>51090.548278156792</v>
      </c>
      <c r="AW115" s="533">
        <f t="shared" si="149"/>
        <v>711.54174757281555</v>
      </c>
      <c r="AX115" s="551">
        <f t="shared" si="149"/>
        <v>77.942780178552539</v>
      </c>
    </row>
    <row r="116" spans="1:50" outlineLevel="1" x14ac:dyDescent="0.25">
      <c r="A116" s="445">
        <v>8</v>
      </c>
      <c r="B116" s="531">
        <f t="shared" ref="B116:AK116" si="160">B$106*B37</f>
        <v>37429.837782904855</v>
      </c>
      <c r="C116" s="534">
        <f t="shared" si="160"/>
        <v>477.36</v>
      </c>
      <c r="D116" s="552">
        <f t="shared" si="129"/>
        <v>78.410084177360602</v>
      </c>
      <c r="E116" s="445">
        <f t="shared" si="160"/>
        <v>0</v>
      </c>
      <c r="F116" s="445">
        <f t="shared" si="160"/>
        <v>0</v>
      </c>
      <c r="G116" s="445">
        <f t="shared" si="160"/>
        <v>0</v>
      </c>
      <c r="H116" s="445">
        <f t="shared" si="160"/>
        <v>0</v>
      </c>
      <c r="I116" s="531">
        <f t="shared" si="160"/>
        <v>42789.974808937732</v>
      </c>
      <c r="J116" s="534">
        <f t="shared" si="160"/>
        <v>563.0625</v>
      </c>
      <c r="K116" s="552">
        <f t="shared" si="130"/>
        <v>75.995071255744662</v>
      </c>
      <c r="L116" s="531">
        <f t="shared" si="160"/>
        <v>41380.960344289102</v>
      </c>
      <c r="M116" s="534">
        <f t="shared" si="160"/>
        <v>586.0017123287671</v>
      </c>
      <c r="N116" s="552">
        <f t="shared" si="131"/>
        <v>70.615766940068184</v>
      </c>
      <c r="O116" s="531">
        <f t="shared" si="160"/>
        <v>42450.687453318642</v>
      </c>
      <c r="P116" s="534">
        <f t="shared" si="160"/>
        <v>605.47500000000002</v>
      </c>
      <c r="Q116" s="552">
        <f t="shared" si="132"/>
        <v>70.111379418338728</v>
      </c>
      <c r="R116" s="531">
        <f t="shared" si="160"/>
        <v>53468.925906644276</v>
      </c>
      <c r="S116" s="534">
        <f t="shared" si="160"/>
        <v>738.80388349514567</v>
      </c>
      <c r="T116" s="552">
        <f t="shared" si="133"/>
        <v>72.372285935602548</v>
      </c>
      <c r="U116" s="531">
        <f t="shared" si="160"/>
        <v>42348.466013372177</v>
      </c>
      <c r="V116" s="534">
        <f t="shared" si="160"/>
        <v>586.89373680506685</v>
      </c>
      <c r="W116" s="552">
        <f t="shared" si="134"/>
        <v>72.156956800917371</v>
      </c>
      <c r="X116" s="531">
        <f t="shared" si="160"/>
        <v>48378.14285783645</v>
      </c>
      <c r="Y116" s="534">
        <f t="shared" si="160"/>
        <v>657.66743916570101</v>
      </c>
      <c r="Z116" s="552">
        <f t="shared" si="135"/>
        <v>73.560191636076198</v>
      </c>
      <c r="AA116" s="531">
        <f t="shared" si="160"/>
        <v>41868.331206996845</v>
      </c>
      <c r="AB116" s="534">
        <f t="shared" si="160"/>
        <v>541.59677419354841</v>
      </c>
      <c r="AC116" s="552">
        <f t="shared" si="136"/>
        <v>77.305355574430578</v>
      </c>
      <c r="AD116" s="531">
        <f t="shared" si="160"/>
        <v>50089.483369410809</v>
      </c>
      <c r="AE116" s="534">
        <f t="shared" si="160"/>
        <v>682.76712328767121</v>
      </c>
      <c r="AF116" s="552">
        <f t="shared" si="137"/>
        <v>73.362471128104588</v>
      </c>
      <c r="AG116" s="531">
        <f t="shared" si="160"/>
        <v>44927.034574291596</v>
      </c>
      <c r="AH116" s="534">
        <f t="shared" si="160"/>
        <v>621.59471365638763</v>
      </c>
      <c r="AI116" s="552">
        <f t="shared" si="138"/>
        <v>72.277053821804031</v>
      </c>
      <c r="AJ116" s="531">
        <f t="shared" si="160"/>
        <v>36858.895948361562</v>
      </c>
      <c r="AK116" s="534">
        <f t="shared" si="160"/>
        <v>508.86091370558376</v>
      </c>
      <c r="AL116" s="552">
        <f t="shared" si="139"/>
        <v>72.434126802844489</v>
      </c>
      <c r="AM116" s="531">
        <f t="shared" ref="AM116" si="161">AM12</f>
        <v>50335</v>
      </c>
      <c r="AN116" s="534">
        <f t="shared" si="145"/>
        <v>687</v>
      </c>
      <c r="AO116" s="552">
        <f t="shared" si="140"/>
        <v>73.267831149927218</v>
      </c>
      <c r="AP116" s="531">
        <f t="shared" si="141"/>
        <v>43817.340024214915</v>
      </c>
      <c r="AQ116" s="534">
        <f t="shared" si="142"/>
        <v>597.28034514889737</v>
      </c>
      <c r="AR116" s="552">
        <f t="shared" si="142"/>
        <v>73.509158499208382</v>
      </c>
      <c r="AS116" s="531">
        <f t="shared" si="146"/>
        <v>36858.895948361562</v>
      </c>
      <c r="AT116" s="534">
        <f t="shared" si="147"/>
        <v>477.36</v>
      </c>
      <c r="AU116" s="552">
        <f t="shared" si="147"/>
        <v>70.111379418338728</v>
      </c>
      <c r="AV116" s="531">
        <f t="shared" si="148"/>
        <v>53468.925906644276</v>
      </c>
      <c r="AW116" s="534">
        <f t="shared" si="149"/>
        <v>738.80388349514567</v>
      </c>
      <c r="AX116" s="552">
        <f t="shared" si="149"/>
        <v>78.410084177360602</v>
      </c>
    </row>
    <row r="117" spans="1:50" outlineLevel="1" x14ac:dyDescent="0.25">
      <c r="A117" s="444">
        <v>9</v>
      </c>
      <c r="B117" s="530">
        <f t="shared" ref="B117:AK117" si="162">B$106*B38</f>
        <v>39097.969164286238</v>
      </c>
      <c r="C117" s="533">
        <f t="shared" si="162"/>
        <v>498.42</v>
      </c>
      <c r="D117" s="551">
        <f t="shared" si="129"/>
        <v>78.443820802307769</v>
      </c>
      <c r="E117" s="444">
        <f t="shared" si="162"/>
        <v>0</v>
      </c>
      <c r="F117" s="444">
        <f t="shared" si="162"/>
        <v>0</v>
      </c>
      <c r="G117" s="444">
        <f t="shared" si="162"/>
        <v>0</v>
      </c>
      <c r="H117" s="444">
        <f t="shared" si="162"/>
        <v>0</v>
      </c>
      <c r="I117" s="530">
        <f t="shared" si="162"/>
        <v>45032.269904238667</v>
      </c>
      <c r="J117" s="533">
        <f t="shared" si="162"/>
        <v>601.453125</v>
      </c>
      <c r="K117" s="551">
        <f t="shared" si="130"/>
        <v>74.872451455362651</v>
      </c>
      <c r="L117" s="530">
        <f t="shared" si="162"/>
        <v>44551.65898109533</v>
      </c>
      <c r="M117" s="533">
        <f t="shared" si="162"/>
        <v>631.07876712328766</v>
      </c>
      <c r="N117" s="551">
        <f t="shared" si="131"/>
        <v>70.596035395359308</v>
      </c>
      <c r="O117" s="530">
        <f t="shared" si="162"/>
        <v>44589.41993594369</v>
      </c>
      <c r="P117" s="533">
        <f t="shared" si="162"/>
        <v>638.97954545454536</v>
      </c>
      <c r="Q117" s="551">
        <f t="shared" si="132"/>
        <v>69.782233646030875</v>
      </c>
      <c r="R117" s="530">
        <f t="shared" si="162"/>
        <v>55025.606495334934</v>
      </c>
      <c r="S117" s="533">
        <f t="shared" si="162"/>
        <v>757.88737864077666</v>
      </c>
      <c r="T117" s="551">
        <f t="shared" si="133"/>
        <v>72.603935685035282</v>
      </c>
      <c r="U117" s="530">
        <f t="shared" si="162"/>
        <v>45160.457144929809</v>
      </c>
      <c r="V117" s="533">
        <f t="shared" si="162"/>
        <v>630.61435608726242</v>
      </c>
      <c r="W117" s="551">
        <f t="shared" si="134"/>
        <v>71.61343015584734</v>
      </c>
      <c r="X117" s="530">
        <f t="shared" si="162"/>
        <v>49555.511732462001</v>
      </c>
      <c r="Y117" s="533">
        <f t="shared" si="162"/>
        <v>672.30938586326772</v>
      </c>
      <c r="Z117" s="551">
        <f t="shared" si="135"/>
        <v>73.709385551461651</v>
      </c>
      <c r="AA117" s="530">
        <f t="shared" si="162"/>
        <v>46465.37898938838</v>
      </c>
      <c r="AB117" s="533">
        <f t="shared" si="162"/>
        <v>611.41935483870975</v>
      </c>
      <c r="AC117" s="551">
        <f t="shared" si="136"/>
        <v>75.995924273031534</v>
      </c>
      <c r="AD117" s="530">
        <f t="shared" si="162"/>
        <v>52351.306517621597</v>
      </c>
      <c r="AE117" s="533">
        <f t="shared" si="162"/>
        <v>714.3639921722114</v>
      </c>
      <c r="AF117" s="551">
        <f t="shared" si="137"/>
        <v>73.283798023516965</v>
      </c>
      <c r="AG117" s="530">
        <f t="shared" si="162"/>
        <v>45715.138960780409</v>
      </c>
      <c r="AH117" s="533">
        <f t="shared" si="162"/>
        <v>640.14977973568273</v>
      </c>
      <c r="AI117" s="551">
        <f t="shared" si="138"/>
        <v>71.413191737183993</v>
      </c>
      <c r="AJ117" s="530">
        <f t="shared" si="162"/>
        <v>40462.072683061153</v>
      </c>
      <c r="AK117" s="533">
        <f t="shared" si="162"/>
        <v>560.17461928934006</v>
      </c>
      <c r="AL117" s="551">
        <f t="shared" si="139"/>
        <v>72.231178082278987</v>
      </c>
      <c r="AM117" s="530">
        <f t="shared" ref="AM117" si="163">AM13</f>
        <v>51635</v>
      </c>
      <c r="AN117" s="533">
        <f t="shared" si="145"/>
        <v>705</v>
      </c>
      <c r="AO117" s="551">
        <f t="shared" si="140"/>
        <v>73.241134751773046</v>
      </c>
      <c r="AP117" s="530">
        <f t="shared" si="141"/>
        <v>46182.43550083111</v>
      </c>
      <c r="AQ117" s="533">
        <f t="shared" si="142"/>
        <v>632.44093674591659</v>
      </c>
      <c r="AR117" s="551">
        <f t="shared" si="142"/>
        <v>73.14048952794694</v>
      </c>
      <c r="AS117" s="530">
        <f t="shared" si="146"/>
        <v>39097.969164286238</v>
      </c>
      <c r="AT117" s="533">
        <f t="shared" si="147"/>
        <v>498.42</v>
      </c>
      <c r="AU117" s="551">
        <f t="shared" si="147"/>
        <v>69.782233646030875</v>
      </c>
      <c r="AV117" s="530">
        <f t="shared" si="148"/>
        <v>55025.606495334934</v>
      </c>
      <c r="AW117" s="533">
        <f t="shared" si="149"/>
        <v>757.88737864077666</v>
      </c>
      <c r="AX117" s="551">
        <f t="shared" si="149"/>
        <v>78.443820802307769</v>
      </c>
    </row>
    <row r="118" spans="1:50" outlineLevel="1" x14ac:dyDescent="0.25">
      <c r="A118" s="445">
        <v>10</v>
      </c>
      <c r="B118" s="531">
        <f t="shared" ref="B118:AK118" si="164">B$106*B39</f>
        <v>44315.614754998904</v>
      </c>
      <c r="C118" s="534">
        <f t="shared" si="164"/>
        <v>565.11</v>
      </c>
      <c r="D118" s="552">
        <f t="shared" si="129"/>
        <v>78.419448877207799</v>
      </c>
      <c r="E118" s="445">
        <f t="shared" si="164"/>
        <v>0</v>
      </c>
      <c r="F118" s="445">
        <f t="shared" si="164"/>
        <v>0</v>
      </c>
      <c r="G118" s="445">
        <f t="shared" si="164"/>
        <v>0</v>
      </c>
      <c r="H118" s="445">
        <f t="shared" si="164"/>
        <v>0</v>
      </c>
      <c r="I118" s="531">
        <f t="shared" si="164"/>
        <v>47813.092085878277</v>
      </c>
      <c r="J118" s="534">
        <f t="shared" si="164"/>
        <v>639.84375</v>
      </c>
      <c r="K118" s="552">
        <f t="shared" si="130"/>
        <v>74.726200085377528</v>
      </c>
      <c r="L118" s="531">
        <f t="shared" si="164"/>
        <v>46909.448200473998</v>
      </c>
      <c r="M118" s="534">
        <f t="shared" si="164"/>
        <v>665.33732876712327</v>
      </c>
      <c r="N118" s="552">
        <f t="shared" si="131"/>
        <v>70.504759273611896</v>
      </c>
      <c r="O118" s="531">
        <f t="shared" si="164"/>
        <v>47384.806337270384</v>
      </c>
      <c r="P118" s="534">
        <f t="shared" si="164"/>
        <v>674.87727272727273</v>
      </c>
      <c r="Q118" s="552">
        <f t="shared" si="132"/>
        <v>70.212478997524698</v>
      </c>
      <c r="R118" s="531">
        <f t="shared" si="164"/>
        <v>56604.485737696756</v>
      </c>
      <c r="S118" s="534">
        <f t="shared" si="164"/>
        <v>776.97087378640788</v>
      </c>
      <c r="T118" s="552">
        <f t="shared" si="133"/>
        <v>72.852776915364188</v>
      </c>
      <c r="U118" s="531">
        <f t="shared" si="164"/>
        <v>47216.300109419768</v>
      </c>
      <c r="V118" s="534">
        <f t="shared" si="164"/>
        <v>661.73750879662214</v>
      </c>
      <c r="W118" s="552">
        <f t="shared" si="134"/>
        <v>71.35200813277639</v>
      </c>
      <c r="X118" s="531">
        <f t="shared" si="164"/>
        <v>50857.49942952027</v>
      </c>
      <c r="Y118" s="534">
        <f t="shared" si="164"/>
        <v>689.39165701042884</v>
      </c>
      <c r="Z118" s="552">
        <f t="shared" si="135"/>
        <v>73.771562090068812</v>
      </c>
      <c r="AA118" s="531">
        <f t="shared" si="164"/>
        <v>48113.000260777109</v>
      </c>
      <c r="AB118" s="534">
        <f t="shared" si="164"/>
        <v>634.06451612903231</v>
      </c>
      <c r="AC118" s="552">
        <f t="shared" si="136"/>
        <v>75.880291416569506</v>
      </c>
      <c r="AD118" s="531">
        <f t="shared" si="164"/>
        <v>54165.585145099103</v>
      </c>
      <c r="AE118" s="534">
        <f t="shared" si="164"/>
        <v>737.03131115459871</v>
      </c>
      <c r="AF118" s="552">
        <f t="shared" si="137"/>
        <v>73.491565860676715</v>
      </c>
      <c r="AG118" s="531">
        <f t="shared" si="164"/>
        <v>47108.304134315476</v>
      </c>
      <c r="AH118" s="534">
        <f t="shared" si="164"/>
        <v>663.34361233480172</v>
      </c>
      <c r="AI118" s="552">
        <f t="shared" si="138"/>
        <v>71.01644345154115</v>
      </c>
      <c r="AJ118" s="531">
        <f t="shared" si="164"/>
        <v>43150.508837435067</v>
      </c>
      <c r="AK118" s="534">
        <f t="shared" si="164"/>
        <v>602.93604060913708</v>
      </c>
      <c r="AL118" s="552">
        <f t="shared" si="139"/>
        <v>71.567307195371441</v>
      </c>
      <c r="AM118" s="531">
        <f t="shared" ref="AM118" si="165">AM14</f>
        <v>53657</v>
      </c>
      <c r="AN118" s="534">
        <f t="shared" si="145"/>
        <v>727</v>
      </c>
      <c r="AO118" s="552">
        <f t="shared" si="140"/>
        <v>73.806052269601096</v>
      </c>
      <c r="AP118" s="531">
        <f t="shared" si="141"/>
        <v>48512.604093898648</v>
      </c>
      <c r="AQ118" s="534">
        <f t="shared" si="142"/>
        <v>664.6039883014023</v>
      </c>
      <c r="AR118" s="552">
        <f t="shared" si="142"/>
        <v>73.072258390553642</v>
      </c>
      <c r="AS118" s="531">
        <f t="shared" si="146"/>
        <v>43150.508837435067</v>
      </c>
      <c r="AT118" s="534">
        <f t="shared" si="147"/>
        <v>565.11</v>
      </c>
      <c r="AU118" s="552">
        <f t="shared" si="147"/>
        <v>70.212478997524698</v>
      </c>
      <c r="AV118" s="531">
        <f t="shared" si="148"/>
        <v>56604.485737696756</v>
      </c>
      <c r="AW118" s="534">
        <f t="shared" si="149"/>
        <v>776.97087378640788</v>
      </c>
      <c r="AX118" s="552">
        <f t="shared" si="149"/>
        <v>78.419448877207799</v>
      </c>
    </row>
    <row r="119" spans="1:50" outlineLevel="1" x14ac:dyDescent="0.25">
      <c r="A119" s="444">
        <v>11</v>
      </c>
      <c r="B119" s="530">
        <f t="shared" ref="B119:AK119" si="166">B$106*B40</f>
        <v>48687.269409653556</v>
      </c>
      <c r="C119" s="533">
        <f t="shared" si="166"/>
        <v>624.78</v>
      </c>
      <c r="D119" s="551">
        <f t="shared" si="129"/>
        <v>77.927061381051828</v>
      </c>
      <c r="E119" s="444">
        <f t="shared" si="166"/>
        <v>0</v>
      </c>
      <c r="F119" s="444">
        <f t="shared" si="166"/>
        <v>0</v>
      </c>
      <c r="G119" s="444">
        <f t="shared" si="166"/>
        <v>0</v>
      </c>
      <c r="H119" s="444">
        <f t="shared" si="166"/>
        <v>0</v>
      </c>
      <c r="I119" s="530">
        <f t="shared" si="166"/>
        <v>48833.118826923674</v>
      </c>
      <c r="J119" s="533">
        <f t="shared" si="166"/>
        <v>650.8125</v>
      </c>
      <c r="K119" s="551">
        <f t="shared" si="130"/>
        <v>75.034082515200112</v>
      </c>
      <c r="L119" s="530">
        <f t="shared" si="166"/>
        <v>49033.569950947072</v>
      </c>
      <c r="M119" s="533">
        <f t="shared" si="166"/>
        <v>695.9897260273973</v>
      </c>
      <c r="N119" s="551">
        <f t="shared" si="131"/>
        <v>70.45157150641171</v>
      </c>
      <c r="O119" s="530">
        <f t="shared" si="166"/>
        <v>48772.80007089235</v>
      </c>
      <c r="P119" s="533">
        <f t="shared" si="166"/>
        <v>696.41590909090905</v>
      </c>
      <c r="Q119" s="551">
        <f t="shared" si="132"/>
        <v>70.034011909003681</v>
      </c>
      <c r="R119" s="530">
        <f t="shared" si="166"/>
        <v>57718.233814854895</v>
      </c>
      <c r="S119" s="533">
        <f t="shared" si="166"/>
        <v>792.64660194174769</v>
      </c>
      <c r="T119" s="551">
        <f t="shared" si="133"/>
        <v>72.817108751191824</v>
      </c>
      <c r="U119" s="530">
        <f t="shared" si="166"/>
        <v>49281.40675742663</v>
      </c>
      <c r="V119" s="533">
        <f t="shared" si="166"/>
        <v>692.86066150598174</v>
      </c>
      <c r="W119" s="551">
        <f t="shared" si="134"/>
        <v>71.127442349389554</v>
      </c>
      <c r="X119" s="530">
        <f t="shared" si="166"/>
        <v>51956.749042322321</v>
      </c>
      <c r="Y119" s="533">
        <f t="shared" si="166"/>
        <v>710.13441483198142</v>
      </c>
      <c r="Z119" s="551">
        <f t="shared" si="135"/>
        <v>73.164668486902357</v>
      </c>
      <c r="AA119" s="530">
        <f t="shared" si="166"/>
        <v>48957.559858377972</v>
      </c>
      <c r="AB119" s="533">
        <f t="shared" si="166"/>
        <v>651.04838709677415</v>
      </c>
      <c r="AC119" s="551">
        <f t="shared" si="136"/>
        <v>75.198035704680649</v>
      </c>
      <c r="AD119" s="530">
        <f t="shared" si="166"/>
        <v>55693.248694446331</v>
      </c>
      <c r="AE119" s="533">
        <f t="shared" si="166"/>
        <v>758.32485322896275</v>
      </c>
      <c r="AF119" s="551">
        <f t="shared" si="137"/>
        <v>73.442467904491508</v>
      </c>
      <c r="AG119" s="530">
        <f t="shared" si="166"/>
        <v>49681.083615369302</v>
      </c>
      <c r="AH119" s="533">
        <f t="shared" si="166"/>
        <v>695.81497797356826</v>
      </c>
      <c r="AI119" s="551">
        <f t="shared" si="138"/>
        <v>71.399847930920117</v>
      </c>
      <c r="AJ119" s="530">
        <f t="shared" si="166"/>
        <v>45541.421863258947</v>
      </c>
      <c r="AK119" s="533">
        <f t="shared" si="166"/>
        <v>637.14517766497454</v>
      </c>
      <c r="AL119" s="551">
        <f t="shared" si="139"/>
        <v>71.47730762109866</v>
      </c>
      <c r="AM119" s="530">
        <f t="shared" ref="AM119" si="167">AM15</f>
        <v>55502</v>
      </c>
      <c r="AN119" s="533">
        <f t="shared" si="145"/>
        <v>753</v>
      </c>
      <c r="AO119" s="551">
        <f t="shared" si="140"/>
        <v>73.70783532536521</v>
      </c>
      <c r="AP119" s="530">
        <f t="shared" si="141"/>
        <v>50377.860173133908</v>
      </c>
      <c r="AQ119" s="533">
        <f t="shared" si="142"/>
        <v>691.45210994202705</v>
      </c>
      <c r="AR119" s="551">
        <f t="shared" si="142"/>
        <v>72.915782369122013</v>
      </c>
      <c r="AS119" s="530">
        <f t="shared" si="146"/>
        <v>45541.421863258947</v>
      </c>
      <c r="AT119" s="533">
        <f t="shared" si="147"/>
        <v>624.78</v>
      </c>
      <c r="AU119" s="551">
        <f t="shared" si="147"/>
        <v>70.034011909003681</v>
      </c>
      <c r="AV119" s="530">
        <f t="shared" si="148"/>
        <v>57718.233814854895</v>
      </c>
      <c r="AW119" s="533">
        <f t="shared" si="149"/>
        <v>792.64660194174769</v>
      </c>
      <c r="AX119" s="551">
        <f t="shared" si="149"/>
        <v>77.927061381051828</v>
      </c>
    </row>
    <row r="120" spans="1:50" outlineLevel="1" x14ac:dyDescent="0.25">
      <c r="A120" s="445">
        <v>12</v>
      </c>
      <c r="B120" s="531">
        <f t="shared" ref="B120:AK120" si="168">B$106*B41</f>
        <v>51890.250018311002</v>
      </c>
      <c r="C120" s="534">
        <f t="shared" si="168"/>
        <v>677.43</v>
      </c>
      <c r="D120" s="552">
        <f t="shared" si="129"/>
        <v>76.598689190486112</v>
      </c>
      <c r="E120" s="445">
        <f t="shared" si="168"/>
        <v>0</v>
      </c>
      <c r="F120" s="445">
        <f t="shared" si="168"/>
        <v>0</v>
      </c>
      <c r="G120" s="445">
        <f t="shared" si="168"/>
        <v>0</v>
      </c>
      <c r="H120" s="445">
        <f t="shared" si="168"/>
        <v>0</v>
      </c>
      <c r="I120" s="531">
        <f t="shared" si="168"/>
        <v>50650.941699149822</v>
      </c>
      <c r="J120" s="534">
        <f t="shared" si="168"/>
        <v>678.234375</v>
      </c>
      <c r="K120" s="552">
        <f t="shared" si="130"/>
        <v>74.680587664330375</v>
      </c>
      <c r="L120" s="531">
        <f t="shared" si="168"/>
        <v>50172.346953023094</v>
      </c>
      <c r="M120" s="534">
        <f t="shared" si="168"/>
        <v>712.21746575342456</v>
      </c>
      <c r="N120" s="552">
        <f t="shared" si="131"/>
        <v>70.445263371838124</v>
      </c>
      <c r="O120" s="531">
        <f t="shared" si="168"/>
        <v>52588.57040497259</v>
      </c>
      <c r="P120" s="534">
        <f t="shared" si="168"/>
        <v>744.27954545454543</v>
      </c>
      <c r="Q120" s="552">
        <f t="shared" si="132"/>
        <v>70.657014190623457</v>
      </c>
      <c r="R120" s="531">
        <f t="shared" si="168"/>
        <v>58888.865942045391</v>
      </c>
      <c r="S120" s="534">
        <f t="shared" si="168"/>
        <v>810.36699029126225</v>
      </c>
      <c r="T120" s="552">
        <f t="shared" si="133"/>
        <v>72.669378994422686</v>
      </c>
      <c r="U120" s="531">
        <f t="shared" si="168"/>
        <v>51381.946994885671</v>
      </c>
      <c r="V120" s="534">
        <f t="shared" si="168"/>
        <v>723.24278676988047</v>
      </c>
      <c r="W120" s="552">
        <f t="shared" si="134"/>
        <v>71.043843001000781</v>
      </c>
      <c r="X120" s="531">
        <f t="shared" si="168"/>
        <v>53216.701136589843</v>
      </c>
      <c r="Y120" s="534">
        <f t="shared" si="168"/>
        <v>729.65701042873695</v>
      </c>
      <c r="Z120" s="552">
        <f t="shared" si="135"/>
        <v>72.93385847868494</v>
      </c>
      <c r="AA120" s="531">
        <f t="shared" si="168"/>
        <v>50791.921786925035</v>
      </c>
      <c r="AB120" s="534">
        <f t="shared" si="168"/>
        <v>681.24193548387098</v>
      </c>
      <c r="AC120" s="552">
        <f t="shared" si="136"/>
        <v>74.557832014332277</v>
      </c>
      <c r="AD120" s="531">
        <f t="shared" si="168"/>
        <v>57192.924514645209</v>
      </c>
      <c r="AE120" s="534">
        <f t="shared" si="168"/>
        <v>780.99217221135029</v>
      </c>
      <c r="AF120" s="552">
        <f t="shared" si="137"/>
        <v>73.231111078495914</v>
      </c>
      <c r="AG120" s="531">
        <f t="shared" si="168"/>
        <v>52355.553985002327</v>
      </c>
      <c r="AH120" s="534">
        <f t="shared" si="168"/>
        <v>714.37004405286336</v>
      </c>
      <c r="AI120" s="552">
        <f t="shared" si="138"/>
        <v>73.289122942462043</v>
      </c>
      <c r="AJ120" s="531">
        <f t="shared" si="168"/>
        <v>47942.705286592398</v>
      </c>
      <c r="AK120" s="534">
        <f t="shared" si="168"/>
        <v>667.07817258883256</v>
      </c>
      <c r="AL120" s="552">
        <f t="shared" si="139"/>
        <v>71.86969572176794</v>
      </c>
      <c r="AM120" s="531">
        <f t="shared" ref="AM120" si="169">AM16</f>
        <v>57013</v>
      </c>
      <c r="AN120" s="534">
        <f t="shared" si="145"/>
        <v>775</v>
      </c>
      <c r="AO120" s="552">
        <f t="shared" si="140"/>
        <v>73.565161290322578</v>
      </c>
      <c r="AP120" s="531">
        <f t="shared" si="141"/>
        <v>52461.157156558402</v>
      </c>
      <c r="AQ120" s="534">
        <f t="shared" si="142"/>
        <v>719.91913618497881</v>
      </c>
      <c r="AR120" s="552">
        <f t="shared" si="142"/>
        <v>72.906945149858601</v>
      </c>
      <c r="AS120" s="531">
        <f t="shared" si="146"/>
        <v>47942.705286592398</v>
      </c>
      <c r="AT120" s="534">
        <f t="shared" si="147"/>
        <v>667.07817258883256</v>
      </c>
      <c r="AU120" s="552">
        <f t="shared" si="147"/>
        <v>70.445263371838124</v>
      </c>
      <c r="AV120" s="531">
        <f t="shared" si="148"/>
        <v>58888.865942045391</v>
      </c>
      <c r="AW120" s="534">
        <f t="shared" si="149"/>
        <v>810.36699029126225</v>
      </c>
      <c r="AX120" s="552">
        <f t="shared" si="149"/>
        <v>76.598689190486112</v>
      </c>
    </row>
    <row r="121" spans="1:50" outlineLevel="1" x14ac:dyDescent="0.25">
      <c r="A121" s="444">
        <v>13</v>
      </c>
      <c r="B121" s="530">
        <f t="shared" ref="B121:AK121" si="170">B$106*B42</f>
        <v>52897.582509338608</v>
      </c>
      <c r="C121" s="533">
        <f t="shared" si="170"/>
        <v>691.47</v>
      </c>
      <c r="D121" s="551">
        <f t="shared" si="129"/>
        <v>76.50018440328374</v>
      </c>
      <c r="E121" s="444">
        <f t="shared" si="170"/>
        <v>0</v>
      </c>
      <c r="F121" s="444">
        <f t="shared" si="170"/>
        <v>0</v>
      </c>
      <c r="G121" s="444">
        <f t="shared" si="170"/>
        <v>0</v>
      </c>
      <c r="H121" s="444">
        <f t="shared" si="170"/>
        <v>0</v>
      </c>
      <c r="I121" s="530">
        <f t="shared" si="170"/>
        <v>52360.588824775186</v>
      </c>
      <c r="J121" s="533">
        <f t="shared" si="170"/>
        <v>705.65625</v>
      </c>
      <c r="K121" s="551">
        <f t="shared" si="130"/>
        <v>74.201268428891808</v>
      </c>
      <c r="L121" s="530">
        <f t="shared" si="170"/>
        <v>52138.109726075214</v>
      </c>
      <c r="M121" s="533">
        <f t="shared" si="170"/>
        <v>739.2636986301369</v>
      </c>
      <c r="N121" s="551">
        <f t="shared" si="131"/>
        <v>70.527079610006083</v>
      </c>
      <c r="O121" s="530">
        <f t="shared" si="170"/>
        <v>53914.487549529702</v>
      </c>
      <c r="P121" s="533">
        <f t="shared" si="170"/>
        <v>763.42499999999995</v>
      </c>
      <c r="Q121" s="551">
        <f t="shared" si="132"/>
        <v>70.621852244201733</v>
      </c>
      <c r="R121" s="530">
        <f t="shared" si="170"/>
        <v>59810.11006939887</v>
      </c>
      <c r="S121" s="533">
        <f t="shared" si="170"/>
        <v>821.27184466019423</v>
      </c>
      <c r="T121" s="551">
        <f t="shared" si="133"/>
        <v>72.826202990248177</v>
      </c>
      <c r="U121" s="530">
        <f t="shared" si="170"/>
        <v>53196.934187936014</v>
      </c>
      <c r="V121" s="533">
        <f t="shared" si="170"/>
        <v>749.17874736101339</v>
      </c>
      <c r="W121" s="551">
        <f t="shared" si="134"/>
        <v>71.006998497117721</v>
      </c>
      <c r="X121" s="530">
        <f t="shared" si="170"/>
        <v>55704.241630940887</v>
      </c>
      <c r="Y121" s="533">
        <f t="shared" si="170"/>
        <v>761.38122827346467</v>
      </c>
      <c r="Z121" s="551">
        <f t="shared" si="135"/>
        <v>73.162089584553883</v>
      </c>
      <c r="AA121" s="530">
        <f t="shared" si="170"/>
        <v>52477.967061844291</v>
      </c>
      <c r="AB121" s="533">
        <f t="shared" si="170"/>
        <v>707.66129032258073</v>
      </c>
      <c r="AC121" s="551">
        <f t="shared" si="136"/>
        <v>74.156899323859733</v>
      </c>
      <c r="AD121" s="530">
        <f t="shared" si="170"/>
        <v>58238.318027463974</v>
      </c>
      <c r="AE121" s="533">
        <f t="shared" si="170"/>
        <v>796.10371819960858</v>
      </c>
      <c r="AF121" s="551">
        <f t="shared" si="137"/>
        <v>73.154184179883174</v>
      </c>
      <c r="AG121" s="530">
        <f t="shared" si="170"/>
        <v>52902.142511115533</v>
      </c>
      <c r="AH121" s="533">
        <f t="shared" si="170"/>
        <v>719.00881057268714</v>
      </c>
      <c r="AI121" s="551">
        <f t="shared" si="138"/>
        <v>73.576487148995056</v>
      </c>
      <c r="AJ121" s="530">
        <f t="shared" si="170"/>
        <v>50038.955983179236</v>
      </c>
      <c r="AK121" s="533">
        <f t="shared" si="170"/>
        <v>701.28730964467002</v>
      </c>
      <c r="AL121" s="551">
        <f t="shared" si="139"/>
        <v>71.353003676243759</v>
      </c>
      <c r="AM121" s="530">
        <f t="shared" ref="AM121" si="171">AM17</f>
        <v>57853</v>
      </c>
      <c r="AN121" s="533">
        <f t="shared" si="145"/>
        <v>789</v>
      </c>
      <c r="AO121" s="551">
        <f t="shared" si="140"/>
        <v>73.324461343472748</v>
      </c>
      <c r="AP121" s="530">
        <f t="shared" si="141"/>
        <v>53970.858007417963</v>
      </c>
      <c r="AQ121" s="533">
        <f t="shared" si="142"/>
        <v>741.42799069675959</v>
      </c>
      <c r="AR121" s="551">
        <f t="shared" si="142"/>
        <v>72.826022735207701</v>
      </c>
      <c r="AS121" s="530">
        <f t="shared" si="146"/>
        <v>50038.955983179236</v>
      </c>
      <c r="AT121" s="533">
        <f t="shared" si="147"/>
        <v>691.47</v>
      </c>
      <c r="AU121" s="551">
        <f t="shared" si="147"/>
        <v>70.527079610006083</v>
      </c>
      <c r="AV121" s="530">
        <f t="shared" si="148"/>
        <v>59810.11006939887</v>
      </c>
      <c r="AW121" s="533">
        <f t="shared" si="149"/>
        <v>821.27184466019423</v>
      </c>
      <c r="AX121" s="551">
        <f t="shared" si="149"/>
        <v>76.50018440328374</v>
      </c>
    </row>
    <row r="122" spans="1:50" outlineLevel="1" x14ac:dyDescent="0.25">
      <c r="A122" s="445">
        <v>14</v>
      </c>
      <c r="B122" s="531">
        <f t="shared" ref="B122:AK122" si="172">B$106*B43</f>
        <v>54071.868435508681</v>
      </c>
      <c r="C122" s="534">
        <f t="shared" si="172"/>
        <v>719.55000000000007</v>
      </c>
      <c r="D122" s="552">
        <f t="shared" si="129"/>
        <v>75.146784011547041</v>
      </c>
      <c r="E122" s="445">
        <f t="shared" si="172"/>
        <v>0</v>
      </c>
      <c r="F122" s="445">
        <f t="shared" si="172"/>
        <v>0</v>
      </c>
      <c r="G122" s="445">
        <f t="shared" si="172"/>
        <v>0</v>
      </c>
      <c r="H122" s="445">
        <f t="shared" si="172"/>
        <v>0</v>
      </c>
      <c r="I122" s="531">
        <f t="shared" si="172"/>
        <v>54739.867338326025</v>
      </c>
      <c r="J122" s="534">
        <f t="shared" si="172"/>
        <v>736.73437499999989</v>
      </c>
      <c r="K122" s="552">
        <f t="shared" si="130"/>
        <v>74.300683117067848</v>
      </c>
      <c r="L122" s="531">
        <f t="shared" si="172"/>
        <v>53075.594872407273</v>
      </c>
      <c r="M122" s="534">
        <f t="shared" si="172"/>
        <v>751.8852739726027</v>
      </c>
      <c r="N122" s="552">
        <f t="shared" si="131"/>
        <v>70.590017798834097</v>
      </c>
      <c r="O122" s="531">
        <f t="shared" si="172"/>
        <v>55925.187067208484</v>
      </c>
      <c r="P122" s="534">
        <f t="shared" si="172"/>
        <v>789.75</v>
      </c>
      <c r="Q122" s="552">
        <f t="shared" si="132"/>
        <v>70.813785460219677</v>
      </c>
      <c r="R122" s="531">
        <f t="shared" si="172"/>
        <v>61264.468738823984</v>
      </c>
      <c r="S122" s="534">
        <f t="shared" si="172"/>
        <v>839.67378640776712</v>
      </c>
      <c r="T122" s="552">
        <f t="shared" si="133"/>
        <v>72.962226200869381</v>
      </c>
      <c r="U122" s="531">
        <f t="shared" si="172"/>
        <v>55765.290442998943</v>
      </c>
      <c r="V122" s="534">
        <f t="shared" si="172"/>
        <v>785.48909218859956</v>
      </c>
      <c r="W122" s="552">
        <f t="shared" si="134"/>
        <v>70.994353705944832</v>
      </c>
      <c r="X122" s="531">
        <f t="shared" si="172"/>
        <v>58024.011710613835</v>
      </c>
      <c r="Y122" s="534">
        <f t="shared" si="172"/>
        <v>793.10544611819228</v>
      </c>
      <c r="Z122" s="552">
        <f t="shared" si="135"/>
        <v>73.160526125005106</v>
      </c>
      <c r="AA122" s="531">
        <f t="shared" si="172"/>
        <v>55060.060099095303</v>
      </c>
      <c r="AB122" s="534">
        <f t="shared" si="172"/>
        <v>745.40322580645159</v>
      </c>
      <c r="AC122" s="552">
        <f t="shared" si="136"/>
        <v>73.866141429057862</v>
      </c>
      <c r="AD122" s="531">
        <f t="shared" si="172"/>
        <v>60287.900896299805</v>
      </c>
      <c r="AE122" s="534">
        <f t="shared" si="172"/>
        <v>829.07436399217215</v>
      </c>
      <c r="AF122" s="552">
        <f t="shared" si="137"/>
        <v>72.717121062579409</v>
      </c>
      <c r="AG122" s="531">
        <f t="shared" si="172"/>
        <v>54470.724467449734</v>
      </c>
      <c r="AH122" s="534">
        <f t="shared" si="172"/>
        <v>737.56387665198235</v>
      </c>
      <c r="AI122" s="552">
        <f t="shared" si="138"/>
        <v>73.852212929283155</v>
      </c>
      <c r="AJ122" s="531">
        <f t="shared" si="172"/>
        <v>53227.316817496583</v>
      </c>
      <c r="AK122" s="534">
        <f t="shared" si="172"/>
        <v>744.04873096446693</v>
      </c>
      <c r="AL122" s="552">
        <f t="shared" si="139"/>
        <v>71.537406896052516</v>
      </c>
      <c r="AM122" s="531">
        <f t="shared" ref="AM122" si="173">AM18</f>
        <v>59064</v>
      </c>
      <c r="AN122" s="534">
        <f t="shared" si="145"/>
        <v>806</v>
      </c>
      <c r="AO122" s="552">
        <f t="shared" si="140"/>
        <v>73.280397022332508</v>
      </c>
      <c r="AP122" s="531">
        <f t="shared" si="141"/>
        <v>55992.026444202609</v>
      </c>
      <c r="AQ122" s="534">
        <f t="shared" si="142"/>
        <v>770.20710646383952</v>
      </c>
      <c r="AR122" s="552">
        <f t="shared" si="142"/>
        <v>72.721932612405539</v>
      </c>
      <c r="AS122" s="531">
        <f t="shared" si="146"/>
        <v>53075.594872407273</v>
      </c>
      <c r="AT122" s="534">
        <f t="shared" si="147"/>
        <v>719.55000000000007</v>
      </c>
      <c r="AU122" s="552">
        <f t="shared" si="147"/>
        <v>70.590017798834097</v>
      </c>
      <c r="AV122" s="531">
        <f t="shared" si="148"/>
        <v>61264.468738823984</v>
      </c>
      <c r="AW122" s="534">
        <f t="shared" si="149"/>
        <v>839.67378640776712</v>
      </c>
      <c r="AX122" s="552">
        <f t="shared" si="149"/>
        <v>75.146784011547041</v>
      </c>
    </row>
    <row r="123" spans="1:50" outlineLevel="1" x14ac:dyDescent="0.25">
      <c r="A123" s="444">
        <v>15</v>
      </c>
      <c r="B123" s="530">
        <f t="shared" ref="B123:AK123" si="174">B$106*B44</f>
        <v>56681.392715886621</v>
      </c>
      <c r="C123" s="533">
        <f t="shared" si="174"/>
        <v>751.1400000000001</v>
      </c>
      <c r="D123" s="551">
        <f t="shared" si="129"/>
        <v>75.460490342528175</v>
      </c>
      <c r="E123" s="444">
        <f t="shared" si="174"/>
        <v>0</v>
      </c>
      <c r="F123" s="444">
        <f t="shared" si="174"/>
        <v>0</v>
      </c>
      <c r="G123" s="444">
        <f t="shared" si="174"/>
        <v>0</v>
      </c>
      <c r="H123" s="444">
        <f t="shared" si="174"/>
        <v>0</v>
      </c>
      <c r="I123" s="530">
        <f t="shared" si="174"/>
        <v>57301.398468432533</v>
      </c>
      <c r="J123" s="533">
        <f t="shared" si="174"/>
        <v>771.46875000000011</v>
      </c>
      <c r="K123" s="551">
        <f t="shared" si="130"/>
        <v>74.275722080035678</v>
      </c>
      <c r="L123" s="530">
        <f t="shared" si="174"/>
        <v>54205.222244676741</v>
      </c>
      <c r="M123" s="533">
        <f t="shared" si="174"/>
        <v>769.91609589041093</v>
      </c>
      <c r="N123" s="551">
        <f t="shared" si="131"/>
        <v>70.404064201292215</v>
      </c>
      <c r="O123" s="530">
        <f t="shared" si="174"/>
        <v>57376.227336599448</v>
      </c>
      <c r="P123" s="533">
        <f t="shared" si="174"/>
        <v>806.50227272727273</v>
      </c>
      <c r="Q123" s="551">
        <f t="shared" si="132"/>
        <v>71.14205288297039</v>
      </c>
      <c r="R123" s="530">
        <f t="shared" si="174"/>
        <v>65303.236291122113</v>
      </c>
      <c r="S123" s="533">
        <f t="shared" si="174"/>
        <v>894.87961165048546</v>
      </c>
      <c r="T123" s="551">
        <f t="shared" si="133"/>
        <v>72.974325753917952</v>
      </c>
      <c r="U123" s="530">
        <f t="shared" si="174"/>
        <v>57666.429892756525</v>
      </c>
      <c r="V123" s="533">
        <f t="shared" si="174"/>
        <v>812.16608022519347</v>
      </c>
      <c r="W123" s="551">
        <f t="shared" si="134"/>
        <v>71.003248346406011</v>
      </c>
      <c r="X123" s="530">
        <f t="shared" si="174"/>
        <v>61435.963469876246</v>
      </c>
      <c r="Y123" s="533">
        <f t="shared" si="174"/>
        <v>841.91193511008112</v>
      </c>
      <c r="Z123" s="551">
        <f t="shared" si="135"/>
        <v>72.971959308123374</v>
      </c>
      <c r="AA123" s="530">
        <f t="shared" si="174"/>
        <v>57782.784989268017</v>
      </c>
      <c r="AB123" s="533">
        <f t="shared" si="174"/>
        <v>783.14516129032268</v>
      </c>
      <c r="AC123" s="551">
        <f t="shared" si="136"/>
        <v>73.782981553591114</v>
      </c>
      <c r="AD123" s="530">
        <f t="shared" si="174"/>
        <v>62899.570658864912</v>
      </c>
      <c r="AE123" s="533">
        <f t="shared" si="174"/>
        <v>863.41878669275923</v>
      </c>
      <c r="AF123" s="551">
        <f t="shared" si="137"/>
        <v>72.849434860915565</v>
      </c>
      <c r="AG123" s="530">
        <f t="shared" si="174"/>
        <v>57259.597086734357</v>
      </c>
      <c r="AH123" s="533">
        <f t="shared" si="174"/>
        <v>760.75770925110123</v>
      </c>
      <c r="AI123" s="551">
        <f t="shared" si="138"/>
        <v>75.266535442803956</v>
      </c>
      <c r="AJ123" s="530">
        <f t="shared" si="174"/>
        <v>57149.83027550768</v>
      </c>
      <c r="AK123" s="533">
        <f t="shared" si="174"/>
        <v>777.1888324873097</v>
      </c>
      <c r="AL123" s="551">
        <f t="shared" si="139"/>
        <v>73.534034312620989</v>
      </c>
      <c r="AM123" s="530">
        <f t="shared" ref="AM123" si="175">AM19</f>
        <v>60362</v>
      </c>
      <c r="AN123" s="533">
        <f t="shared" si="145"/>
        <v>825</v>
      </c>
      <c r="AO123" s="551">
        <f t="shared" si="140"/>
        <v>73.166060606060611</v>
      </c>
      <c r="AP123" s="530">
        <f t="shared" si="141"/>
        <v>58641.96849361137</v>
      </c>
      <c r="AQ123" s="533">
        <f t="shared" si="142"/>
        <v>802.95411230226682</v>
      </c>
      <c r="AR123" s="551">
        <f t="shared" si="142"/>
        <v>73.06044082592777</v>
      </c>
      <c r="AS123" s="530">
        <f t="shared" si="146"/>
        <v>54205.222244676741</v>
      </c>
      <c r="AT123" s="533">
        <f t="shared" si="147"/>
        <v>751.1400000000001</v>
      </c>
      <c r="AU123" s="551">
        <f t="shared" si="147"/>
        <v>70.404064201292215</v>
      </c>
      <c r="AV123" s="530">
        <f t="shared" si="148"/>
        <v>65303.236291122113</v>
      </c>
      <c r="AW123" s="533">
        <f t="shared" si="149"/>
        <v>894.87961165048546</v>
      </c>
      <c r="AX123" s="551">
        <f t="shared" si="149"/>
        <v>75.460490342528175</v>
      </c>
    </row>
    <row r="124" spans="1:50" outlineLevel="1" x14ac:dyDescent="0.25">
      <c r="A124" s="445">
        <v>16</v>
      </c>
      <c r="B124" s="531">
        <f t="shared" ref="B124:AK124" si="176">B$106*B45</f>
        <v>59313.36451695599</v>
      </c>
      <c r="C124" s="534">
        <f t="shared" si="176"/>
        <v>786.24</v>
      </c>
      <c r="D124" s="552">
        <f t="shared" si="129"/>
        <v>75.43926093426434</v>
      </c>
      <c r="E124" s="445">
        <f t="shared" si="176"/>
        <v>0</v>
      </c>
      <c r="F124" s="445">
        <f t="shared" si="176"/>
        <v>0</v>
      </c>
      <c r="G124" s="445">
        <f t="shared" si="176"/>
        <v>0</v>
      </c>
      <c r="H124" s="445">
        <f t="shared" si="176"/>
        <v>0</v>
      </c>
      <c r="I124" s="531">
        <f t="shared" si="176"/>
        <v>60820.637702955712</v>
      </c>
      <c r="J124" s="534">
        <f t="shared" si="176"/>
        <v>813.515625</v>
      </c>
      <c r="K124" s="552">
        <f t="shared" si="130"/>
        <v>74.762716085454059</v>
      </c>
      <c r="L124" s="531">
        <f t="shared" si="176"/>
        <v>56339.901260311228</v>
      </c>
      <c r="M124" s="534">
        <f t="shared" si="176"/>
        <v>800.56849315068496</v>
      </c>
      <c r="N124" s="552">
        <f t="shared" si="131"/>
        <v>70.374867038024689</v>
      </c>
      <c r="O124" s="531">
        <f t="shared" si="176"/>
        <v>59983.444077323307</v>
      </c>
      <c r="P124" s="534">
        <f t="shared" si="176"/>
        <v>835.22045454545457</v>
      </c>
      <c r="Q124" s="552">
        <f t="shared" si="132"/>
        <v>71.81749890209241</v>
      </c>
      <c r="R124" s="531">
        <f t="shared" si="176"/>
        <v>67034.384423509604</v>
      </c>
      <c r="S124" s="534">
        <f t="shared" si="176"/>
        <v>920.09708737864082</v>
      </c>
      <c r="T124" s="552">
        <f t="shared" si="133"/>
        <v>72.85577287771963</v>
      </c>
      <c r="U124" s="531">
        <f t="shared" si="176"/>
        <v>59673.406926694792</v>
      </c>
      <c r="V124" s="534">
        <f t="shared" si="176"/>
        <v>840.32512315270935</v>
      </c>
      <c r="W124" s="552">
        <f t="shared" si="134"/>
        <v>71.012284748566955</v>
      </c>
      <c r="X124" s="531">
        <f t="shared" si="176"/>
        <v>64757.520083314317</v>
      </c>
      <c r="Y124" s="534">
        <f t="shared" si="176"/>
        <v>889.49826187717258</v>
      </c>
      <c r="Z124" s="552">
        <f t="shared" si="135"/>
        <v>72.802300868640074</v>
      </c>
      <c r="AA124" s="531">
        <f t="shared" si="176"/>
        <v>60454.790194780449</v>
      </c>
      <c r="AB124" s="534">
        <f t="shared" si="176"/>
        <v>826.54838709677415</v>
      </c>
      <c r="AC124" s="552">
        <f t="shared" si="136"/>
        <v>73.141259651024242</v>
      </c>
      <c r="AD124" s="531">
        <f t="shared" si="176"/>
        <v>65092.461066765885</v>
      </c>
      <c r="AE124" s="534">
        <f t="shared" si="176"/>
        <v>893.64187866927591</v>
      </c>
      <c r="AF124" s="552">
        <f t="shared" si="137"/>
        <v>72.839537425993527</v>
      </c>
      <c r="AG124" s="531">
        <f t="shared" si="176"/>
        <v>59751.023856924818</v>
      </c>
      <c r="AH124" s="534">
        <f t="shared" si="176"/>
        <v>797.86784140969155</v>
      </c>
      <c r="AI124" s="552">
        <f t="shared" si="138"/>
        <v>74.888372178724879</v>
      </c>
      <c r="AJ124" s="531">
        <f t="shared" si="176"/>
        <v>59751.01205083567</v>
      </c>
      <c r="AK124" s="534">
        <f t="shared" si="176"/>
        <v>810.32893401015235</v>
      </c>
      <c r="AL124" s="552">
        <f t="shared" si="139"/>
        <v>73.736737691371971</v>
      </c>
      <c r="AM124" s="531">
        <f t="shared" ref="AM124" si="177">AM20</f>
        <v>61360</v>
      </c>
      <c r="AN124" s="534">
        <f t="shared" si="145"/>
        <v>836</v>
      </c>
      <c r="AO124" s="552">
        <f t="shared" si="140"/>
        <v>73.397129186602868</v>
      </c>
      <c r="AP124" s="531">
        <f t="shared" si="141"/>
        <v>61179.26783276107</v>
      </c>
      <c r="AQ124" s="534">
        <f t="shared" si="142"/>
        <v>837.62291693550515</v>
      </c>
      <c r="AR124" s="552">
        <f t="shared" si="142"/>
        <v>73.060964400170619</v>
      </c>
      <c r="AS124" s="531">
        <f t="shared" si="146"/>
        <v>56339.901260311228</v>
      </c>
      <c r="AT124" s="534">
        <f t="shared" si="147"/>
        <v>786.24</v>
      </c>
      <c r="AU124" s="552">
        <f t="shared" si="147"/>
        <v>70.374867038024689</v>
      </c>
      <c r="AV124" s="531">
        <f t="shared" si="148"/>
        <v>67034.384423509604</v>
      </c>
      <c r="AW124" s="534">
        <f t="shared" si="149"/>
        <v>920.09708737864082</v>
      </c>
      <c r="AX124" s="552">
        <f t="shared" si="149"/>
        <v>75.43926093426434</v>
      </c>
    </row>
    <row r="125" spans="1:50" outlineLevel="1" x14ac:dyDescent="0.25">
      <c r="A125" s="445">
        <v>17</v>
      </c>
      <c r="B125" s="530">
        <f t="shared" ref="B125:AK125" si="178">B$106*B46</f>
        <v>61785.397733098951</v>
      </c>
      <c r="C125" s="533">
        <f t="shared" si="178"/>
        <v>817.83</v>
      </c>
      <c r="D125" s="551">
        <f t="shared" si="129"/>
        <v>75.547971746082865</v>
      </c>
      <c r="E125" s="444">
        <f t="shared" si="178"/>
        <v>0</v>
      </c>
      <c r="F125" s="444">
        <f t="shared" si="178"/>
        <v>0</v>
      </c>
      <c r="G125" s="444">
        <f t="shared" si="178"/>
        <v>0</v>
      </c>
      <c r="H125" s="444">
        <f t="shared" si="178"/>
        <v>0</v>
      </c>
      <c r="I125" s="530">
        <f t="shared" si="178"/>
        <v>64403.95930910654</v>
      </c>
      <c r="J125" s="533">
        <f t="shared" si="178"/>
        <v>861.046875</v>
      </c>
      <c r="K125" s="551">
        <f t="shared" si="130"/>
        <v>74.797274316925595</v>
      </c>
      <c r="L125" s="530">
        <f t="shared" si="178"/>
        <v>61114.600383972371</v>
      </c>
      <c r="M125" s="533">
        <f t="shared" si="178"/>
        <v>878.10102739726017</v>
      </c>
      <c r="N125" s="551">
        <f t="shared" si="131"/>
        <v>69.598597971260105</v>
      </c>
      <c r="O125" s="530">
        <f t="shared" si="178"/>
        <v>62326.83531452153</v>
      </c>
      <c r="P125" s="533">
        <f t="shared" si="178"/>
        <v>868.72500000000002</v>
      </c>
      <c r="Q125" s="551">
        <f t="shared" si="132"/>
        <v>71.745184396122511</v>
      </c>
      <c r="R125" s="530">
        <f t="shared" si="178"/>
        <v>68767.613679678776</v>
      </c>
      <c r="S125" s="533">
        <f t="shared" si="178"/>
        <v>943.26990291262155</v>
      </c>
      <c r="T125" s="551">
        <f t="shared" si="133"/>
        <v>72.903432482408974</v>
      </c>
      <c r="U125" s="530">
        <f t="shared" si="178"/>
        <v>62273.722889891054</v>
      </c>
      <c r="V125" s="533">
        <f t="shared" si="178"/>
        <v>859.59183673469397</v>
      </c>
      <c r="W125" s="551">
        <f t="shared" si="134"/>
        <v>72.445689021953029</v>
      </c>
      <c r="X125" s="530">
        <f t="shared" si="178"/>
        <v>67351.451572339254</v>
      </c>
      <c r="Y125" s="533">
        <f t="shared" si="178"/>
        <v>923.66280417149483</v>
      </c>
      <c r="Z125" s="551">
        <f t="shared" si="135"/>
        <v>72.91779128504804</v>
      </c>
      <c r="AA125" s="530">
        <f t="shared" si="178"/>
        <v>64506.217127038573</v>
      </c>
      <c r="AB125" s="533">
        <f t="shared" si="178"/>
        <v>888.82258064516134</v>
      </c>
      <c r="AC125" s="551">
        <f t="shared" si="136"/>
        <v>72.57490812195168</v>
      </c>
      <c r="AD125" s="530">
        <f t="shared" si="178"/>
        <v>66924.879889061762</v>
      </c>
      <c r="AE125" s="533">
        <f t="shared" si="178"/>
        <v>921.11741682974559</v>
      </c>
      <c r="AF125" s="551">
        <f t="shared" si="137"/>
        <v>72.656187654555879</v>
      </c>
      <c r="AG125" s="530">
        <f t="shared" si="178"/>
        <v>60874.708175724998</v>
      </c>
      <c r="AH125" s="533">
        <f t="shared" si="178"/>
        <v>811.78414096916288</v>
      </c>
      <c r="AI125" s="551">
        <f t="shared" si="138"/>
        <v>74.988787170747941</v>
      </c>
      <c r="AJ125" s="530">
        <f t="shared" si="178"/>
        <v>62318.221834322016</v>
      </c>
      <c r="AK125" s="533">
        <f t="shared" si="178"/>
        <v>844.53807106598981</v>
      </c>
      <c r="AL125" s="551">
        <f t="shared" si="139"/>
        <v>73.789712944098468</v>
      </c>
      <c r="AM125" s="530">
        <f t="shared" ref="AM125" si="179">AM21</f>
        <v>63787</v>
      </c>
      <c r="AN125" s="533">
        <f t="shared" si="145"/>
        <v>865</v>
      </c>
      <c r="AO125" s="551">
        <f t="shared" si="140"/>
        <v>73.742196531791905</v>
      </c>
      <c r="AP125" s="530">
        <f t="shared" si="141"/>
        <v>63877.05526443234</v>
      </c>
      <c r="AQ125" s="533">
        <f t="shared" si="142"/>
        <v>874.40815052055734</v>
      </c>
      <c r="AR125" s="551">
        <f t="shared" si="142"/>
        <v>73.0877761010141</v>
      </c>
      <c r="AS125" s="530">
        <f t="shared" si="146"/>
        <v>60874.708175724998</v>
      </c>
      <c r="AT125" s="533">
        <f t="shared" si="147"/>
        <v>811.78414096916288</v>
      </c>
      <c r="AU125" s="551">
        <f t="shared" si="147"/>
        <v>69.598597971260105</v>
      </c>
      <c r="AV125" s="530">
        <f t="shared" si="148"/>
        <v>68767.613679678776</v>
      </c>
      <c r="AW125" s="533">
        <f t="shared" si="149"/>
        <v>943.26990291262155</v>
      </c>
      <c r="AX125" s="551">
        <f t="shared" si="149"/>
        <v>75.547971746082865</v>
      </c>
    </row>
    <row r="126" spans="1:50" outlineLevel="1" x14ac:dyDescent="0.25">
      <c r="A126" s="445">
        <v>18</v>
      </c>
      <c r="B126" s="531">
        <f t="shared" ref="B126:AK126" si="180">B$106*B47</f>
        <v>65463.985186405924</v>
      </c>
      <c r="C126" s="534">
        <f t="shared" si="180"/>
        <v>877.5</v>
      </c>
      <c r="D126" s="552">
        <f t="shared" si="129"/>
        <v>74.602832121260306</v>
      </c>
      <c r="E126" s="445">
        <f t="shared" si="180"/>
        <v>0</v>
      </c>
      <c r="F126" s="445">
        <f t="shared" si="180"/>
        <v>0</v>
      </c>
      <c r="G126" s="445">
        <f t="shared" si="180"/>
        <v>0</v>
      </c>
      <c r="H126" s="445">
        <f t="shared" si="180"/>
        <v>0</v>
      </c>
      <c r="I126" s="531">
        <f t="shared" si="180"/>
        <v>67856.764525336854</v>
      </c>
      <c r="J126" s="534">
        <f t="shared" si="180"/>
        <v>915.890625</v>
      </c>
      <c r="K126" s="552">
        <f t="shared" si="130"/>
        <v>74.08828376787551</v>
      </c>
      <c r="L126" s="531">
        <f t="shared" si="180"/>
        <v>64732.927063621835</v>
      </c>
      <c r="M126" s="534">
        <f t="shared" si="180"/>
        <v>926.78424657534231</v>
      </c>
      <c r="N126" s="552">
        <f t="shared" si="131"/>
        <v>69.846814188764284</v>
      </c>
      <c r="O126" s="531">
        <f t="shared" si="180"/>
        <v>64742.972554530141</v>
      </c>
      <c r="P126" s="534">
        <f t="shared" si="180"/>
        <v>902.22954545454536</v>
      </c>
      <c r="Q126" s="552">
        <f t="shared" si="132"/>
        <v>71.758869880405527</v>
      </c>
      <c r="R126" s="531">
        <f t="shared" si="180"/>
        <v>70452.630234905868</v>
      </c>
      <c r="S126" s="534">
        <f t="shared" si="180"/>
        <v>967.12427184466037</v>
      </c>
      <c r="T126" s="552">
        <f t="shared" si="133"/>
        <v>72.847546366018591</v>
      </c>
      <c r="U126" s="531">
        <f t="shared" si="180"/>
        <v>65038.46923551245</v>
      </c>
      <c r="V126" s="534">
        <f t="shared" si="180"/>
        <v>896.64320900774101</v>
      </c>
      <c r="W126" s="552">
        <f t="shared" si="134"/>
        <v>72.535506411169337</v>
      </c>
      <c r="X126" s="531">
        <f t="shared" si="180"/>
        <v>69759.384818927298</v>
      </c>
      <c r="Y126" s="534">
        <f t="shared" si="180"/>
        <v>952.94669756662802</v>
      </c>
      <c r="Z126" s="552">
        <f t="shared" si="135"/>
        <v>73.203868586836535</v>
      </c>
      <c r="AA126" s="531">
        <f t="shared" si="180"/>
        <v>66927.697829532</v>
      </c>
      <c r="AB126" s="534">
        <f t="shared" si="180"/>
        <v>926.56451612903231</v>
      </c>
      <c r="AC126" s="552">
        <f t="shared" si="136"/>
        <v>72.232096809772202</v>
      </c>
      <c r="AD126" s="531">
        <f t="shared" si="180"/>
        <v>69280.513759047564</v>
      </c>
      <c r="AE126" s="534">
        <f t="shared" si="180"/>
        <v>952.02739726027391</v>
      </c>
      <c r="AF126" s="552">
        <f t="shared" si="137"/>
        <v>72.771554640571992</v>
      </c>
      <c r="AG126" s="531">
        <f t="shared" si="180"/>
        <v>64225.422954409718</v>
      </c>
      <c r="AH126" s="534">
        <f t="shared" si="180"/>
        <v>862.81057268722464</v>
      </c>
      <c r="AI126" s="552">
        <f t="shared" si="138"/>
        <v>74.437454740939899</v>
      </c>
      <c r="AJ126" s="531">
        <f t="shared" si="180"/>
        <v>64451.662921977608</v>
      </c>
      <c r="AK126" s="534">
        <f t="shared" si="180"/>
        <v>877.67817258883247</v>
      </c>
      <c r="AL126" s="552">
        <f t="shared" si="139"/>
        <v>73.434278001774345</v>
      </c>
      <c r="AM126" s="531">
        <f t="shared" ref="AM126" si="181">AM22</f>
        <v>66341</v>
      </c>
      <c r="AN126" s="534">
        <f t="shared" si="145"/>
        <v>892</v>
      </c>
      <c r="AO126" s="552">
        <f t="shared" si="140"/>
        <v>74.373318385650222</v>
      </c>
      <c r="AP126" s="531">
        <f t="shared" si="141"/>
        <v>66630.2210076552</v>
      </c>
      <c r="AQ126" s="534">
        <f t="shared" si="142"/>
        <v>914.3817503740255</v>
      </c>
      <c r="AR126" s="552">
        <f t="shared" si="142"/>
        <v>72.887191410489876</v>
      </c>
      <c r="AS126" s="531">
        <f t="shared" si="146"/>
        <v>64225.422954409718</v>
      </c>
      <c r="AT126" s="534">
        <f t="shared" si="147"/>
        <v>862.81057268722464</v>
      </c>
      <c r="AU126" s="552">
        <f t="shared" si="147"/>
        <v>69.846814188764284</v>
      </c>
      <c r="AV126" s="531">
        <f t="shared" si="148"/>
        <v>70452.630234905868</v>
      </c>
      <c r="AW126" s="534">
        <f t="shared" si="149"/>
        <v>967.12427184466037</v>
      </c>
      <c r="AX126" s="552">
        <f t="shared" si="149"/>
        <v>74.602832121260306</v>
      </c>
    </row>
    <row r="127" spans="1:50" outlineLevel="1" x14ac:dyDescent="0.25">
      <c r="A127" s="445">
        <v>19</v>
      </c>
      <c r="B127" s="530">
        <f t="shared" ref="B127:AK127" si="182">B$106*B48</f>
        <v>69553.642862374574</v>
      </c>
      <c r="C127" s="533">
        <f t="shared" si="182"/>
        <v>937.17</v>
      </c>
      <c r="D127" s="551">
        <f t="shared" si="129"/>
        <v>74.216676656716047</v>
      </c>
      <c r="E127" s="444">
        <f t="shared" si="182"/>
        <v>0</v>
      </c>
      <c r="F127" s="444">
        <f t="shared" si="182"/>
        <v>0</v>
      </c>
      <c r="G127" s="444">
        <f t="shared" si="182"/>
        <v>0</v>
      </c>
      <c r="H127" s="444">
        <f t="shared" si="182"/>
        <v>0</v>
      </c>
      <c r="I127" s="530">
        <f t="shared" si="182"/>
        <v>72631.783079095185</v>
      </c>
      <c r="J127" s="533">
        <f t="shared" si="182"/>
        <v>981.703125</v>
      </c>
      <c r="K127" s="551">
        <f t="shared" si="130"/>
        <v>73.98548627325107</v>
      </c>
      <c r="L127" s="530">
        <f t="shared" si="182"/>
        <v>71205.234425235627</v>
      </c>
      <c r="M127" s="533">
        <f t="shared" si="182"/>
        <v>989.8921232876711</v>
      </c>
      <c r="N127" s="551">
        <f t="shared" si="131"/>
        <v>71.932317421362868</v>
      </c>
      <c r="O127" s="530">
        <f t="shared" si="182"/>
        <v>69286.20291671413</v>
      </c>
      <c r="P127" s="533">
        <f t="shared" si="182"/>
        <v>959.66590909090905</v>
      </c>
      <c r="Q127" s="551">
        <f t="shared" si="132"/>
        <v>72.198253851018748</v>
      </c>
      <c r="R127" s="530">
        <f t="shared" si="182"/>
        <v>73597.555122975871</v>
      </c>
      <c r="S127" s="533">
        <f t="shared" si="182"/>
        <v>1010.7436893203885</v>
      </c>
      <c r="T127" s="551">
        <f t="shared" si="133"/>
        <v>72.815250691757427</v>
      </c>
      <c r="U127" s="530">
        <f t="shared" si="182"/>
        <v>69394.484817250835</v>
      </c>
      <c r="V127" s="533">
        <f t="shared" si="182"/>
        <v>955.92540464461649</v>
      </c>
      <c r="W127" s="551">
        <f t="shared" si="134"/>
        <v>72.594037651975114</v>
      </c>
      <c r="X127" s="530">
        <f t="shared" si="182"/>
        <v>73543.705059548374</v>
      </c>
      <c r="Y127" s="533">
        <f t="shared" si="182"/>
        <v>1009.0741599073001</v>
      </c>
      <c r="Z127" s="551">
        <f t="shared" si="135"/>
        <v>72.882358880644176</v>
      </c>
      <c r="AA127" s="530">
        <f t="shared" si="182"/>
        <v>70391.237507773156</v>
      </c>
      <c r="AB127" s="533">
        <f t="shared" si="182"/>
        <v>979.4032258064517</v>
      </c>
      <c r="AC127" s="551">
        <f t="shared" si="136"/>
        <v>71.871559795825888</v>
      </c>
      <c r="AD127" s="530">
        <f t="shared" si="182"/>
        <v>72540.306767909089</v>
      </c>
      <c r="AE127" s="533">
        <f t="shared" si="182"/>
        <v>998.73581213307239</v>
      </c>
      <c r="AF127" s="551">
        <f t="shared" si="137"/>
        <v>72.632127422145302</v>
      </c>
      <c r="AG127" s="530">
        <f t="shared" si="182"/>
        <v>67899.006304333394</v>
      </c>
      <c r="AH127" s="533">
        <f t="shared" si="182"/>
        <v>918.47577092511017</v>
      </c>
      <c r="AI127" s="551">
        <f t="shared" si="138"/>
        <v>73.925745734091535</v>
      </c>
      <c r="AJ127" s="530">
        <f t="shared" si="182"/>
        <v>70647.796633980368</v>
      </c>
      <c r="AK127" s="533">
        <f t="shared" si="182"/>
        <v>962.13197969543148</v>
      </c>
      <c r="AL127" s="551">
        <f t="shared" si="139"/>
        <v>73.428384176923771</v>
      </c>
      <c r="AM127" s="530">
        <f t="shared" ref="AM127" si="183">AM23</f>
        <v>71736</v>
      </c>
      <c r="AN127" s="533">
        <f t="shared" si="145"/>
        <v>973</v>
      </c>
      <c r="AO127" s="551">
        <f t="shared" si="140"/>
        <v>73.726618705035975</v>
      </c>
      <c r="AP127" s="530">
        <f t="shared" si="141"/>
        <v>70971.90504519915</v>
      </c>
      <c r="AQ127" s="533">
        <f t="shared" si="142"/>
        <v>972.99283634645008</v>
      </c>
      <c r="AR127" s="551">
        <f t="shared" si="142"/>
        <v>72.952927141428376</v>
      </c>
      <c r="AS127" s="530">
        <f t="shared" si="146"/>
        <v>67899.006304333394</v>
      </c>
      <c r="AT127" s="533">
        <f t="shared" si="147"/>
        <v>918.47577092511017</v>
      </c>
      <c r="AU127" s="551">
        <f t="shared" si="147"/>
        <v>71.871559795825888</v>
      </c>
      <c r="AV127" s="530">
        <f t="shared" si="148"/>
        <v>73597.555122975871</v>
      </c>
      <c r="AW127" s="533">
        <f t="shared" si="149"/>
        <v>1010.7436893203885</v>
      </c>
      <c r="AX127" s="551">
        <f t="shared" si="149"/>
        <v>74.216676656716047</v>
      </c>
    </row>
    <row r="128" spans="1:50" outlineLevel="1" x14ac:dyDescent="0.25">
      <c r="A128" s="445">
        <v>20</v>
      </c>
      <c r="B128" s="532">
        <f t="shared" ref="B128:AK128" si="184">B$106*B49</f>
        <v>76619</v>
      </c>
      <c r="C128" s="535">
        <f t="shared" si="184"/>
        <v>1053</v>
      </c>
      <c r="D128" s="553">
        <f t="shared" si="129"/>
        <v>72.762583095916426</v>
      </c>
      <c r="E128" s="446">
        <f t="shared" si="184"/>
        <v>0</v>
      </c>
      <c r="F128" s="446">
        <f t="shared" si="184"/>
        <v>0</v>
      </c>
      <c r="G128" s="446">
        <f t="shared" si="184"/>
        <v>0</v>
      </c>
      <c r="H128" s="446">
        <f t="shared" si="184"/>
        <v>0</v>
      </c>
      <c r="I128" s="532">
        <f t="shared" si="184"/>
        <v>76619</v>
      </c>
      <c r="J128" s="535">
        <f t="shared" si="184"/>
        <v>1053</v>
      </c>
      <c r="K128" s="553">
        <f t="shared" si="130"/>
        <v>72.762583095916426</v>
      </c>
      <c r="L128" s="532">
        <f t="shared" si="184"/>
        <v>76619</v>
      </c>
      <c r="M128" s="535">
        <f t="shared" si="184"/>
        <v>1053</v>
      </c>
      <c r="N128" s="553">
        <f t="shared" si="131"/>
        <v>72.762583095916426</v>
      </c>
      <c r="O128" s="532">
        <f t="shared" si="184"/>
        <v>76619</v>
      </c>
      <c r="P128" s="535">
        <f t="shared" si="184"/>
        <v>1053</v>
      </c>
      <c r="Q128" s="553">
        <f t="shared" si="132"/>
        <v>72.762583095916426</v>
      </c>
      <c r="R128" s="532">
        <f t="shared" si="184"/>
        <v>76619</v>
      </c>
      <c r="S128" s="535">
        <f t="shared" si="184"/>
        <v>1053</v>
      </c>
      <c r="T128" s="553">
        <f t="shared" si="133"/>
        <v>72.762583095916426</v>
      </c>
      <c r="U128" s="532">
        <f t="shared" si="184"/>
        <v>76619</v>
      </c>
      <c r="V128" s="535">
        <f t="shared" si="184"/>
        <v>1053</v>
      </c>
      <c r="W128" s="553">
        <f t="shared" si="134"/>
        <v>72.762583095916426</v>
      </c>
      <c r="X128" s="532">
        <f t="shared" si="184"/>
        <v>76619</v>
      </c>
      <c r="Y128" s="535">
        <f t="shared" si="184"/>
        <v>1053</v>
      </c>
      <c r="Z128" s="553">
        <f t="shared" si="135"/>
        <v>72.762583095916426</v>
      </c>
      <c r="AA128" s="532">
        <f t="shared" si="184"/>
        <v>76619</v>
      </c>
      <c r="AB128" s="535">
        <f t="shared" si="184"/>
        <v>1053</v>
      </c>
      <c r="AC128" s="553">
        <f t="shared" si="136"/>
        <v>72.762583095916426</v>
      </c>
      <c r="AD128" s="532">
        <f t="shared" si="184"/>
        <v>76619</v>
      </c>
      <c r="AE128" s="535">
        <f t="shared" si="184"/>
        <v>1053</v>
      </c>
      <c r="AF128" s="553">
        <f t="shared" si="137"/>
        <v>72.762583095916426</v>
      </c>
      <c r="AG128" s="532">
        <f t="shared" si="184"/>
        <v>76619</v>
      </c>
      <c r="AH128" s="535">
        <f t="shared" si="184"/>
        <v>1053</v>
      </c>
      <c r="AI128" s="553">
        <f t="shared" si="138"/>
        <v>72.762583095916426</v>
      </c>
      <c r="AJ128" s="532">
        <f t="shared" si="184"/>
        <v>76619</v>
      </c>
      <c r="AK128" s="535">
        <f t="shared" si="184"/>
        <v>1053</v>
      </c>
      <c r="AL128" s="553">
        <f t="shared" si="139"/>
        <v>72.762583095916426</v>
      </c>
      <c r="AM128" s="532">
        <f t="shared" ref="AM128" si="185">AM24</f>
        <v>76619</v>
      </c>
      <c r="AN128" s="535">
        <f t="shared" si="145"/>
        <v>1053</v>
      </c>
      <c r="AO128" s="553">
        <f t="shared" si="140"/>
        <v>72.762583095916426</v>
      </c>
      <c r="AP128" s="532">
        <f t="shared" si="141"/>
        <v>76619</v>
      </c>
      <c r="AQ128" s="535">
        <f t="shared" si="142"/>
        <v>1053</v>
      </c>
      <c r="AR128" s="553">
        <f t="shared" si="142"/>
        <v>72.762583095916412</v>
      </c>
      <c r="AS128" s="532">
        <f t="shared" si="146"/>
        <v>76619</v>
      </c>
      <c r="AT128" s="535">
        <f t="shared" si="147"/>
        <v>1053</v>
      </c>
      <c r="AU128" s="553">
        <f t="shared" si="147"/>
        <v>72.762583095916426</v>
      </c>
      <c r="AV128" s="532">
        <f t="shared" si="148"/>
        <v>76619</v>
      </c>
      <c r="AW128" s="535">
        <f t="shared" si="149"/>
        <v>1053</v>
      </c>
      <c r="AX128" s="553">
        <f t="shared" si="149"/>
        <v>72.762583095916426</v>
      </c>
    </row>
    <row r="129" spans="1:50" outlineLevel="1" x14ac:dyDescent="0.25">
      <c r="A129" s="537">
        <v>21</v>
      </c>
      <c r="B129" s="530">
        <f t="shared" ref="B129:AK129" si="186">B$106*B50</f>
        <v>87468.167344173446</v>
      </c>
      <c r="C129" s="533">
        <f t="shared" si="186"/>
        <v>1217.97</v>
      </c>
      <c r="D129" s="551">
        <f t="shared" si="129"/>
        <v>71.814714109685326</v>
      </c>
      <c r="E129" s="444">
        <f t="shared" si="186"/>
        <v>0</v>
      </c>
      <c r="F129" s="444">
        <f t="shared" si="186"/>
        <v>0</v>
      </c>
      <c r="G129" s="444">
        <f t="shared" si="186"/>
        <v>0</v>
      </c>
      <c r="H129" s="444">
        <f t="shared" si="186"/>
        <v>0</v>
      </c>
      <c r="I129" s="530">
        <f t="shared" si="186"/>
        <v>100357.10935054174</v>
      </c>
      <c r="J129" s="533">
        <f t="shared" si="186"/>
        <v>1382.0625</v>
      </c>
      <c r="K129" s="551">
        <f t="shared" si="130"/>
        <v>72.614016624097488</v>
      </c>
      <c r="L129" s="530">
        <f t="shared" si="186"/>
        <v>87058.023791589352</v>
      </c>
      <c r="M129" s="533">
        <f t="shared" si="186"/>
        <v>1186.4280821917807</v>
      </c>
      <c r="N129" s="551">
        <f t="shared" si="131"/>
        <v>73.37825621150192</v>
      </c>
      <c r="O129" s="530">
        <f t="shared" si="186"/>
        <v>87286.473852113471</v>
      </c>
      <c r="P129" s="533">
        <f t="shared" si="186"/>
        <v>1189.4113636363636</v>
      </c>
      <c r="Q129" s="551">
        <f t="shared" si="132"/>
        <v>73.386278726356096</v>
      </c>
      <c r="R129" s="530">
        <f t="shared" si="186"/>
        <v>82924.805058466169</v>
      </c>
      <c r="S129" s="533">
        <f t="shared" si="186"/>
        <v>1134.1048543689321</v>
      </c>
      <c r="T129" s="551">
        <f t="shared" si="133"/>
        <v>73.119169483327298</v>
      </c>
      <c r="U129" s="530">
        <f t="shared" si="186"/>
        <v>90438.331478436434</v>
      </c>
      <c r="V129" s="533">
        <f t="shared" si="186"/>
        <v>1228.6235045742435</v>
      </c>
      <c r="W129" s="551">
        <f t="shared" si="134"/>
        <v>73.60947527190288</v>
      </c>
      <c r="X129" s="530">
        <f t="shared" si="186"/>
        <v>86091.14649434133</v>
      </c>
      <c r="Y129" s="533">
        <f t="shared" si="186"/>
        <v>1189.6581691772885</v>
      </c>
      <c r="Z129" s="551">
        <f t="shared" si="135"/>
        <v>72.366288674231441</v>
      </c>
      <c r="AA129" s="530">
        <f t="shared" si="186"/>
        <v>88462.046368177165</v>
      </c>
      <c r="AB129" s="533">
        <f t="shared" si="186"/>
        <v>1217.1774193548388</v>
      </c>
      <c r="AC129" s="551">
        <f t="shared" si="136"/>
        <v>72.678021265844876</v>
      </c>
      <c r="AD129" s="530">
        <f t="shared" si="186"/>
        <v>84075.915798552393</v>
      </c>
      <c r="AE129" s="533">
        <f t="shared" si="186"/>
        <v>1153.972602739726</v>
      </c>
      <c r="AF129" s="551">
        <f t="shared" si="137"/>
        <v>72.857809274623989</v>
      </c>
      <c r="AG129" s="530">
        <f t="shared" si="186"/>
        <v>92152.283230473156</v>
      </c>
      <c r="AH129" s="533">
        <f t="shared" si="186"/>
        <v>1247.828193832599</v>
      </c>
      <c r="AI129" s="551">
        <f t="shared" si="138"/>
        <v>73.85013713100615</v>
      </c>
      <c r="AJ129" s="530">
        <f t="shared" si="186"/>
        <v>89120.692997727048</v>
      </c>
      <c r="AK129" s="533">
        <f t="shared" si="186"/>
        <v>1214.4243654822335</v>
      </c>
      <c r="AL129" s="551">
        <f t="shared" si="139"/>
        <v>73.385132521067533</v>
      </c>
      <c r="AM129" s="530">
        <f t="shared" ref="AM129" si="187">AM25</f>
        <v>84047</v>
      </c>
      <c r="AN129" s="533">
        <f t="shared" si="145"/>
        <v>1157</v>
      </c>
      <c r="AO129" s="551">
        <f t="shared" si="140"/>
        <v>72.642178046672427</v>
      </c>
      <c r="AP129" s="530">
        <f t="shared" si="141"/>
        <v>88675.908705871989</v>
      </c>
      <c r="AQ129" s="533">
        <f t="shared" si="142"/>
        <v>1214.6964595780005</v>
      </c>
      <c r="AR129" s="551">
        <f t="shared" si="142"/>
        <v>73.005390844876814</v>
      </c>
      <c r="AS129" s="530">
        <f t="shared" si="146"/>
        <v>82924.805058466169</v>
      </c>
      <c r="AT129" s="533">
        <f t="shared" si="147"/>
        <v>1134.1048543689321</v>
      </c>
      <c r="AU129" s="551">
        <f t="shared" si="147"/>
        <v>71.814714109685326</v>
      </c>
      <c r="AV129" s="530">
        <f t="shared" si="148"/>
        <v>100357.10935054174</v>
      </c>
      <c r="AW129" s="533">
        <f t="shared" si="149"/>
        <v>1382.0625</v>
      </c>
      <c r="AX129" s="551">
        <f t="shared" si="149"/>
        <v>73.85013713100615</v>
      </c>
    </row>
    <row r="130" spans="1:50" outlineLevel="1" x14ac:dyDescent="0.25">
      <c r="A130" s="536" t="s">
        <v>386</v>
      </c>
    </row>
    <row r="131" spans="1:50" outlineLevel="1" x14ac:dyDescent="0.25">
      <c r="A131" s="443" t="s">
        <v>31</v>
      </c>
      <c r="B131" s="441" t="s">
        <v>70</v>
      </c>
      <c r="C131" s="433" t="s">
        <v>71</v>
      </c>
      <c r="D131" s="542"/>
      <c r="E131" s="435" t="s">
        <v>52</v>
      </c>
      <c r="F131" s="436" t="s">
        <v>53</v>
      </c>
      <c r="G131" s="437" t="s">
        <v>48</v>
      </c>
      <c r="H131" s="438" t="s">
        <v>49</v>
      </c>
      <c r="I131" s="435" t="s">
        <v>50</v>
      </c>
      <c r="J131" s="436" t="s">
        <v>51</v>
      </c>
      <c r="K131" s="542"/>
      <c r="L131" s="439" t="s">
        <v>136</v>
      </c>
      <c r="M131" s="442" t="s">
        <v>137</v>
      </c>
      <c r="N131" s="442"/>
      <c r="O131" s="441" t="s">
        <v>72</v>
      </c>
      <c r="P131" s="433" t="s">
        <v>73</v>
      </c>
      <c r="Q131" s="433"/>
      <c r="R131" s="437" t="s">
        <v>87</v>
      </c>
      <c r="S131" s="438" t="s">
        <v>88</v>
      </c>
      <c r="T131" s="438"/>
      <c r="U131" s="434" t="s">
        <v>94</v>
      </c>
      <c r="V131" s="434" t="s">
        <v>95</v>
      </c>
      <c r="W131" s="434"/>
      <c r="X131" s="434" t="s">
        <v>110</v>
      </c>
      <c r="Y131" s="434" t="s">
        <v>113</v>
      </c>
      <c r="Z131" s="434"/>
      <c r="AA131" s="439" t="s">
        <v>132</v>
      </c>
      <c r="AB131" s="442" t="s">
        <v>133</v>
      </c>
      <c r="AC131" s="442"/>
      <c r="AD131" s="437" t="s">
        <v>134</v>
      </c>
      <c r="AE131" s="438" t="s">
        <v>135</v>
      </c>
      <c r="AF131" s="438"/>
      <c r="AG131" s="439" t="s">
        <v>154</v>
      </c>
      <c r="AH131" s="442" t="s">
        <v>153</v>
      </c>
      <c r="AI131" s="442"/>
      <c r="AJ131" s="434" t="s">
        <v>169</v>
      </c>
      <c r="AK131" s="434" t="s">
        <v>170</v>
      </c>
      <c r="AL131" s="434"/>
      <c r="AM131" s="434" t="s">
        <v>199</v>
      </c>
      <c r="AN131" s="434" t="s">
        <v>200</v>
      </c>
      <c r="AO131" s="559"/>
      <c r="AP131" s="683" t="s">
        <v>380</v>
      </c>
      <c r="AQ131" s="684"/>
      <c r="AR131" s="684"/>
      <c r="AS131" s="684" t="s">
        <v>381</v>
      </c>
      <c r="AT131" s="684"/>
      <c r="AU131" s="684"/>
      <c r="AV131" s="684" t="s">
        <v>382</v>
      </c>
      <c r="AW131" s="684"/>
      <c r="AX131" s="717"/>
    </row>
    <row r="132" spans="1:50" outlineLevel="1" x14ac:dyDescent="0.25">
      <c r="A132" s="444">
        <v>1</v>
      </c>
      <c r="B132" s="530">
        <f>$AM109-B109</f>
        <v>5236.7294916868086</v>
      </c>
      <c r="C132" s="533">
        <f t="shared" ref="C132:C152" si="188">$AN109-C109</f>
        <v>90.769999999999982</v>
      </c>
      <c r="D132" s="561">
        <f>$AO109-D109</f>
        <v>-6.0649318283440294</v>
      </c>
      <c r="E132" s="444">
        <f t="shared" ref="E132" si="189">$AM109-E109</f>
        <v>25960</v>
      </c>
      <c r="F132" s="444">
        <f t="shared" ref="F132" si="190">$AN109-F109</f>
        <v>347</v>
      </c>
      <c r="G132" s="444">
        <f t="shared" ref="G132" si="191">$AM109-G109</f>
        <v>25960</v>
      </c>
      <c r="H132" s="444">
        <f t="shared" ref="H132" si="192">$AN109-H109</f>
        <v>347</v>
      </c>
      <c r="I132" s="530">
        <f t="shared" ref="I132" si="193">$AM109-I109</f>
        <v>422.88095055400117</v>
      </c>
      <c r="J132" s="533">
        <f t="shared" ref="J132" si="194">$AN109-J109</f>
        <v>19.765625</v>
      </c>
      <c r="K132" s="561">
        <f>$AO109-K109</f>
        <v>-3.2265510915515989</v>
      </c>
      <c r="L132" s="530">
        <f t="shared" ref="L132" si="195">$AM109-L109</f>
        <v>339.62890632176277</v>
      </c>
      <c r="M132" s="533">
        <f t="shared" ref="M132" si="196">$AN109-M109</f>
        <v>-4.6010273972602249</v>
      </c>
      <c r="N132" s="561">
        <f>$AO109-N109</f>
        <v>1.9449433986492721</v>
      </c>
      <c r="O132" s="530">
        <f t="shared" ref="O132" si="197">$AM109-O109</f>
        <v>6937.4052384388488</v>
      </c>
      <c r="P132" s="533">
        <f t="shared" ref="P132" si="198">$AN109-P109</f>
        <v>71.784090909090935</v>
      </c>
      <c r="Q132" s="561">
        <f>$AO109-Q109</f>
        <v>5.6938750854467202</v>
      </c>
      <c r="R132" s="530">
        <f t="shared" ref="R132" si="199">$AM109-R109</f>
        <v>-5164.9404247228376</v>
      </c>
      <c r="S132" s="533">
        <f t="shared" ref="S132" si="200">$AN109-S109</f>
        <v>-78.970873786407822</v>
      </c>
      <c r="T132" s="561">
        <f>$AO109-T109</f>
        <v>1.7444439045284383</v>
      </c>
      <c r="U132" s="530">
        <f t="shared" ref="U132" si="201">$AM109-U109</f>
        <v>6745.7308334038644</v>
      </c>
      <c r="V132" s="533">
        <f t="shared" ref="V132" si="202">$AN109-V109</f>
        <v>94.309641097818428</v>
      </c>
      <c r="W132" s="561">
        <f>$AO109-W109</f>
        <v>-1.2261100074397291</v>
      </c>
      <c r="X132" s="530">
        <f t="shared" ref="X132" si="203">$AM109-X109</f>
        <v>-2485.0832123592591</v>
      </c>
      <c r="Y132" s="533">
        <f t="shared" ref="Y132" si="204">$AN109-Y109</f>
        <v>-39.791425260718427</v>
      </c>
      <c r="Z132" s="561">
        <f>$AO109-Z109</f>
        <v>1.2715379010022758</v>
      </c>
      <c r="AA132" s="530">
        <f t="shared" ref="AA132" si="205">$AM109-AA109</f>
        <v>5422.3701129365509</v>
      </c>
      <c r="AB132" s="533">
        <f t="shared" ref="AB132" si="206">$AN109-AB109</f>
        <v>90.354838709677381</v>
      </c>
      <c r="AC132" s="561">
        <f>$AO109-AC109</f>
        <v>-5.2107646432690586</v>
      </c>
      <c r="AD132" s="530">
        <f t="shared" ref="AD132" si="207">$AM109-AD109</f>
        <v>775.44924237299711</v>
      </c>
      <c r="AE132" s="533">
        <f t="shared" ref="AE132" si="208">$AN109-AE109</f>
        <v>11.111545988258285</v>
      </c>
      <c r="AF132" s="561">
        <f>$AO109-AF109</f>
        <v>-0.16623165388939753</v>
      </c>
      <c r="AG132" s="530">
        <f t="shared" ref="AG132" si="209">$AM109-AG109</f>
        <v>4714.2311035901548</v>
      </c>
      <c r="AH132" s="533">
        <f t="shared" ref="AH132" si="210">$AN109-AH109</f>
        <v>36.202643171806187</v>
      </c>
      <c r="AI132" s="561">
        <f>$AO109-AI109</f>
        <v>6.4537689802787384</v>
      </c>
      <c r="AJ132" s="530">
        <f t="shared" ref="AJ132" si="211">$AM109-AJ109</f>
        <v>11800.47380040045</v>
      </c>
      <c r="AK132" s="533">
        <f t="shared" ref="AK132" si="212">$AN109-AK109</f>
        <v>154.57360406091368</v>
      </c>
      <c r="AL132" s="561">
        <f>$AO109-AL109</f>
        <v>1.2285643264927586</v>
      </c>
      <c r="AM132" s="530"/>
      <c r="AN132" s="533"/>
      <c r="AO132" s="533"/>
      <c r="AP132" s="530">
        <f t="shared" ref="AP132:AP152" si="213">AVERAGE(B132,I132,L132,O132,R132,U132,X132,AA132,AD132,AG132,AJ132)</f>
        <v>3158.6250947839403</v>
      </c>
      <c r="AQ132" s="533">
        <f t="shared" ref="AQ132:AR152" si="214">AVERAGE(C132,J132,M132,P132,S132,V132,Y132,AB132,AE132,AH132,AK132)</f>
        <v>40.500787499379854</v>
      </c>
      <c r="AR132" s="561">
        <f t="shared" si="214"/>
        <v>0.22204948835494454</v>
      </c>
      <c r="AS132" s="530">
        <f>MIN(B132,I132,L132,O132,R132,U132,X132,AA132,AD132,AG132,AJ132)</f>
        <v>-5164.9404247228376</v>
      </c>
      <c r="AT132" s="533">
        <f>MIN(C132,J132,M132,P132,S132,V132,Y132,AB132,AE132,AH132,AK132)</f>
        <v>-78.970873786407822</v>
      </c>
      <c r="AU132" s="561">
        <f>MIN(D132,K132,N132,Q132,T132,W132,Z132,AC132,AF132,AI132,AL132)</f>
        <v>-6.0649318283440294</v>
      </c>
      <c r="AV132" s="530">
        <f>MAX(B132,I132,L132,O132,R132,U132,X132,AA132,AD132,AG132,AJ132)</f>
        <v>11800.47380040045</v>
      </c>
      <c r="AW132" s="533">
        <f>MAX(C132,J132,M132,P132,S132,V132,Y132,AB132,AE132,AH132,AK132)</f>
        <v>154.57360406091368</v>
      </c>
      <c r="AX132" s="561">
        <f>MAX(D132,K132,N132,Q132,T132,W132,Z132,AC132,AF132,AI132,AL132)</f>
        <v>6.4537689802787384</v>
      </c>
    </row>
    <row r="133" spans="1:50" outlineLevel="1" x14ac:dyDescent="0.25">
      <c r="A133" s="445">
        <v>2</v>
      </c>
      <c r="B133" s="531">
        <f t="shared" ref="B133" si="215">$AM110-B110</f>
        <v>12192.61019556141</v>
      </c>
      <c r="C133" s="534">
        <f t="shared" si="188"/>
        <v>195.18</v>
      </c>
      <c r="D133" s="562">
        <f t="shared" ref="D133:D152" si="216">$AO110-D110</f>
        <v>-7.7777319959423608</v>
      </c>
      <c r="E133" s="445">
        <f t="shared" ref="E133" si="217">$AM110-E110</f>
        <v>35712</v>
      </c>
      <c r="F133" s="445">
        <f t="shared" ref="F133" si="218">$AN110-F110</f>
        <v>483</v>
      </c>
      <c r="G133" s="445">
        <f t="shared" ref="G133" si="219">$AM110-G110</f>
        <v>35712</v>
      </c>
      <c r="H133" s="445">
        <f t="shared" ref="H133" si="220">$AN110-H110</f>
        <v>483</v>
      </c>
      <c r="I133" s="531">
        <f t="shared" ref="I133" si="221">$AM110-I110</f>
        <v>6597.4384610662637</v>
      </c>
      <c r="J133" s="534">
        <f t="shared" ref="J133" si="222">$AN110-J110</f>
        <v>106.40625</v>
      </c>
      <c r="K133" s="562">
        <f t="shared" ref="K133:K152" si="223">$AO110-K110</f>
        <v>-3.3723739575678167</v>
      </c>
      <c r="L133" s="531">
        <f t="shared" ref="L133" si="224">$AM110-L110</f>
        <v>5687.8416986643642</v>
      </c>
      <c r="M133" s="534">
        <f t="shared" ref="M133" si="225">$AN110-M110</f>
        <v>62.881849315068564</v>
      </c>
      <c r="N133" s="562">
        <f t="shared" ref="N133:N152" si="226">$AO110-N110</f>
        <v>2.4719011844230181</v>
      </c>
      <c r="O133" s="531">
        <f t="shared" ref="O133" si="227">$AM110-O110</f>
        <v>11917.267454078214</v>
      </c>
      <c r="P133" s="534">
        <f t="shared" ref="P133" si="228">$AN110-P110</f>
        <v>135.98863636363632</v>
      </c>
      <c r="Q133" s="562">
        <f t="shared" ref="Q133:Q152" si="229">$AO110-Q110</f>
        <v>5.3674174897451934</v>
      </c>
      <c r="R133" s="531">
        <f t="shared" ref="R133" si="230">$AM110-R110</f>
        <v>-3830.3924136588612</v>
      </c>
      <c r="S133" s="534">
        <f t="shared" ref="S133" si="231">$AN110-S110</f>
        <v>-54.745631067961199</v>
      </c>
      <c r="T133" s="562">
        <f t="shared" ref="T133:T152" si="232">$AO110-T110</f>
        <v>0.40425049141313707</v>
      </c>
      <c r="U133" s="531">
        <f t="shared" ref="U133" si="233">$AM110-U110</f>
        <v>13403.197354580519</v>
      </c>
      <c r="V133" s="534">
        <f t="shared" ref="V133" si="234">$AN110-V110</f>
        <v>183.62491203377903</v>
      </c>
      <c r="W133" s="562">
        <f t="shared" ref="W133:W152" si="235">$AO110-W110</f>
        <v>-0.58001105923467833</v>
      </c>
      <c r="X133" s="531">
        <f t="shared" ref="X133" si="236">$AM110-X110</f>
        <v>-1560.9317948991811</v>
      </c>
      <c r="Y133" s="534">
        <f t="shared" ref="Y133" si="237">$AN110-Y110</f>
        <v>-25.807647740440359</v>
      </c>
      <c r="Z133" s="562">
        <f t="shared" ref="Z133:Z152" si="238">$AO110-Z110</f>
        <v>0.68244095769479429</v>
      </c>
      <c r="AA133" s="531">
        <f t="shared" ref="AA133" si="239">$AM110-AA110</f>
        <v>10800.950031092656</v>
      </c>
      <c r="AB133" s="534">
        <f t="shared" ref="AB133" si="240">$AN110-AB110</f>
        <v>158.41935483870964</v>
      </c>
      <c r="AC133" s="562">
        <f t="shared" ref="AC133:AC152" si="241">$AO110-AC110</f>
        <v>-2.8105265335149028</v>
      </c>
      <c r="AD133" s="531">
        <f t="shared" ref="AD133" si="242">$AM110-AD110</f>
        <v>4253.5332916187508</v>
      </c>
      <c r="AE133" s="534">
        <f t="shared" ref="AE133" si="243">$AN110-AE110</f>
        <v>58.502935420743654</v>
      </c>
      <c r="AF133" s="562">
        <f t="shared" ref="AF133:AF152" si="244">$AO110-AF110</f>
        <v>-0.16973075394703585</v>
      </c>
      <c r="AG133" s="531">
        <f t="shared" ref="AG133" si="245">$AM110-AG110</f>
        <v>6646.2017718494899</v>
      </c>
      <c r="AH133" s="534">
        <f t="shared" ref="AH133" si="246">$AN110-AH110</f>
        <v>70.149779735682841</v>
      </c>
      <c r="AI133" s="562">
        <f t="shared" ref="AI133:AI152" si="247">$AO110-AI110</f>
        <v>3.535120314700805</v>
      </c>
      <c r="AJ133" s="531">
        <f t="shared" ref="AJ133" si="248">$AM110-AJ110</f>
        <v>15821.2199767571</v>
      </c>
      <c r="AK133" s="534">
        <f t="shared" ref="AK133" si="249">$AN110-AK110</f>
        <v>209.32690355329947</v>
      </c>
      <c r="AL133" s="562">
        <f t="shared" ref="AL133:AL152" si="250">$AO110-AL110</f>
        <v>1.2570866091987085</v>
      </c>
      <c r="AM133" s="531"/>
      <c r="AN133" s="534"/>
      <c r="AO133" s="534"/>
      <c r="AP133" s="531">
        <f t="shared" si="213"/>
        <v>7448.0850933373385</v>
      </c>
      <c r="AQ133" s="534">
        <f t="shared" si="214"/>
        <v>99.993394768410724</v>
      </c>
      <c r="AR133" s="562">
        <f t="shared" si="214"/>
        <v>-9.019611391192163E-2</v>
      </c>
      <c r="AS133" s="531">
        <f t="shared" ref="AS133:AS152" si="251">MIN(B133,I133,L133,O133,R133,U133,X133,AA133,AD133,AG133,AJ133)</f>
        <v>-3830.3924136588612</v>
      </c>
      <c r="AT133" s="534">
        <f t="shared" ref="AT133:AU152" si="252">MIN(C133,J133,M133,P133,S133,V133,Y133,AB133,AE133,AH133,AK133)</f>
        <v>-54.745631067961199</v>
      </c>
      <c r="AU133" s="562">
        <f t="shared" si="252"/>
        <v>-7.7777319959423608</v>
      </c>
      <c r="AV133" s="531">
        <f t="shared" ref="AV133:AV152" si="253">MAX(B133,I133,L133,O133,R133,U133,X133,AA133,AD133,AG133,AJ133)</f>
        <v>15821.2199767571</v>
      </c>
      <c r="AW133" s="534">
        <f t="shared" ref="AW133:AX152" si="254">MAX(C133,J133,M133,P133,S133,V133,Y133,AB133,AE133,AH133,AK133)</f>
        <v>209.32690355329947</v>
      </c>
      <c r="AX133" s="562">
        <f t="shared" si="254"/>
        <v>5.3674174897451934</v>
      </c>
    </row>
    <row r="134" spans="1:50" outlineLevel="1" x14ac:dyDescent="0.25">
      <c r="A134" s="444">
        <v>3</v>
      </c>
      <c r="B134" s="530">
        <f t="shared" ref="B134" si="255">$AM111-B111</f>
        <v>14544.90745623672</v>
      </c>
      <c r="C134" s="533">
        <f t="shared" si="188"/>
        <v>220.10000000000002</v>
      </c>
      <c r="D134" s="561">
        <f t="shared" si="216"/>
        <v>-5.0960989417650495</v>
      </c>
      <c r="E134" s="444">
        <f t="shared" ref="E134" si="256">$AM111-E111</f>
        <v>39341</v>
      </c>
      <c r="F134" s="444">
        <f t="shared" ref="F134" si="257">$AN111-F111</f>
        <v>536</v>
      </c>
      <c r="G134" s="444">
        <f t="shared" ref="G134" si="258">$AM111-G111</f>
        <v>39341</v>
      </c>
      <c r="H134" s="444">
        <f t="shared" ref="H134" si="259">$AN111-H111</f>
        <v>536</v>
      </c>
      <c r="I134" s="530">
        <f t="shared" ref="I134" si="260">$AM111-I111</f>
        <v>7651.9732743009699</v>
      </c>
      <c r="J134" s="533">
        <f t="shared" ref="J134" si="261">$AN111-J111</f>
        <v>126.5</v>
      </c>
      <c r="K134" s="561">
        <f t="shared" si="223"/>
        <v>-3.9872925891361888</v>
      </c>
      <c r="L134" s="530">
        <f t="shared" ref="L134" si="262">$AM111-L111</f>
        <v>7477.062289871581</v>
      </c>
      <c r="M134" s="533">
        <f t="shared" ref="M134" si="263">$AN111-M111</f>
        <v>88.835616438356226</v>
      </c>
      <c r="N134" s="561">
        <f t="shared" si="226"/>
        <v>2.1396160154845205</v>
      </c>
      <c r="O134" s="530">
        <f t="shared" ref="O134" si="264">$AM111-O111</f>
        <v>12501.604749787955</v>
      </c>
      <c r="P134" s="533">
        <f t="shared" ref="P134" si="265">$AN111-P111</f>
        <v>148.30454545454546</v>
      </c>
      <c r="Q134" s="561">
        <f t="shared" si="229"/>
        <v>4.1693511159118515</v>
      </c>
      <c r="R134" s="530">
        <f t="shared" ref="R134" si="266">$AM111-R111</f>
        <v>-3155.200767778646</v>
      </c>
      <c r="S134" s="533">
        <f t="shared" ref="S134" si="267">$AN111-S111</f>
        <v>-44.683495145631014</v>
      </c>
      <c r="T134" s="561">
        <f t="shared" si="232"/>
        <v>0.21431824105455632</v>
      </c>
      <c r="U134" s="530">
        <f t="shared" ref="U134" si="268">$AM111-U111</f>
        <v>12673.865851962906</v>
      </c>
      <c r="V134" s="533">
        <f t="shared" ref="V134" si="269">$AN111-V111</f>
        <v>180.30682617874731</v>
      </c>
      <c r="W134" s="561">
        <f t="shared" si="235"/>
        <v>-1.5749086013477012</v>
      </c>
      <c r="X134" s="530">
        <f t="shared" ref="X134" si="270">$AM111-X111</f>
        <v>-1760.1476207353626</v>
      </c>
      <c r="Y134" s="533">
        <f t="shared" ref="Y134" si="271">$AN111-Y111</f>
        <v>-22.834298957126293</v>
      </c>
      <c r="Z134" s="561">
        <f t="shared" si="238"/>
        <v>-0.15061659469542121</v>
      </c>
      <c r="AA134" s="530">
        <f t="shared" ref="AA134" si="272">$AM111-AA111</f>
        <v>9991.9776233174853</v>
      </c>
      <c r="AB134" s="533">
        <f t="shared" ref="AB134" si="273">$AN111-AB111</f>
        <v>160.4677419354839</v>
      </c>
      <c r="AC134" s="561">
        <f t="shared" si="241"/>
        <v>-4.7557445844730495</v>
      </c>
      <c r="AD134" s="530">
        <f t="shared" ref="AD134" si="274">$AM111-AD111</f>
        <v>2066.2685415680171</v>
      </c>
      <c r="AE134" s="533">
        <f t="shared" ref="AE134" si="275">$AN111-AE111</f>
        <v>33.884540117416861</v>
      </c>
      <c r="AF134" s="561">
        <f t="shared" si="244"/>
        <v>-0.83799092494173522</v>
      </c>
      <c r="AG134" s="530">
        <f t="shared" ref="AG134" si="276">$AM111-AG111</f>
        <v>5889.7822018713923</v>
      </c>
      <c r="AH134" s="533">
        <f t="shared" ref="AH134" si="277">$AN111-AH111</f>
        <v>67.484581497797421</v>
      </c>
      <c r="AI134" s="561">
        <f t="shared" si="247"/>
        <v>1.9990594730589493</v>
      </c>
      <c r="AJ134" s="530">
        <f t="shared" ref="AJ134" si="278">$AM111-AJ111</f>
        <v>15921.781624109139</v>
      </c>
      <c r="AK134" s="533">
        <f t="shared" ref="AK134" si="279">$AN111-AK111</f>
        <v>214.22030456852792</v>
      </c>
      <c r="AL134" s="561">
        <f t="shared" si="250"/>
        <v>0.61710170730067659</v>
      </c>
      <c r="AM134" s="530"/>
      <c r="AN134" s="533"/>
      <c r="AO134" s="533"/>
      <c r="AP134" s="530">
        <f t="shared" si="213"/>
        <v>7618.5341113192871</v>
      </c>
      <c r="AQ134" s="533">
        <f t="shared" si="214"/>
        <v>106.59876018982889</v>
      </c>
      <c r="AR134" s="561">
        <f t="shared" si="214"/>
        <v>-0.66029142577714461</v>
      </c>
      <c r="AS134" s="530">
        <f t="shared" si="251"/>
        <v>-3155.200767778646</v>
      </c>
      <c r="AT134" s="533">
        <f t="shared" si="252"/>
        <v>-44.683495145631014</v>
      </c>
      <c r="AU134" s="561">
        <f t="shared" si="252"/>
        <v>-5.0960989417650495</v>
      </c>
      <c r="AV134" s="530">
        <f t="shared" si="253"/>
        <v>15921.781624109139</v>
      </c>
      <c r="AW134" s="533">
        <f t="shared" si="254"/>
        <v>220.10000000000002</v>
      </c>
      <c r="AX134" s="561">
        <f t="shared" si="254"/>
        <v>4.1693511159118515</v>
      </c>
    </row>
    <row r="135" spans="1:50" outlineLevel="1" x14ac:dyDescent="0.25">
      <c r="A135" s="445">
        <v>4</v>
      </c>
      <c r="B135" s="531">
        <f t="shared" ref="B135" si="280">$AM112-B112</f>
        <v>16766.52261407749</v>
      </c>
      <c r="C135" s="534">
        <f t="shared" si="188"/>
        <v>251.55</v>
      </c>
      <c r="D135" s="562">
        <f t="shared" si="216"/>
        <v>-5.498747596108899</v>
      </c>
      <c r="E135" s="445">
        <f t="shared" ref="E135" si="281">$AM112-E112</f>
        <v>43256</v>
      </c>
      <c r="F135" s="445">
        <f t="shared" ref="F135" si="282">$AN112-F112</f>
        <v>585</v>
      </c>
      <c r="G135" s="445">
        <f t="shared" ref="G135" si="283">$AM112-G112</f>
        <v>43256</v>
      </c>
      <c r="H135" s="445">
        <f t="shared" ref="H135" si="284">$AN112-H112</f>
        <v>585</v>
      </c>
      <c r="I135" s="531">
        <f t="shared" ref="I135" si="285">$AM112-I112</f>
        <v>8003.0527531383268</v>
      </c>
      <c r="J135" s="534">
        <f t="shared" ref="J135" si="286">$AN112-J112</f>
        <v>133.45312499999994</v>
      </c>
      <c r="K135" s="562">
        <f t="shared" si="223"/>
        <v>-4.1296316066004692</v>
      </c>
      <c r="L135" s="531">
        <f t="shared" ref="L135" si="287">$AM112-L112</f>
        <v>9503.0156436589459</v>
      </c>
      <c r="M135" s="534">
        <f t="shared" ref="M135" si="288">$AN112-M112</f>
        <v>108.98630136986304</v>
      </c>
      <c r="N135" s="562">
        <f t="shared" si="226"/>
        <v>3.034289964807698</v>
      </c>
      <c r="O135" s="531">
        <f t="shared" ref="O135" si="289">$AM112-O112</f>
        <v>13843.336143708937</v>
      </c>
      <c r="P135" s="534">
        <f t="shared" ref="P135" si="290">$AN112-P112</f>
        <v>159.01363636363635</v>
      </c>
      <c r="Q135" s="562">
        <f t="shared" si="229"/>
        <v>4.8958582926893257</v>
      </c>
      <c r="R135" s="531">
        <f t="shared" ref="R135" si="291">$AM112-R112</f>
        <v>-1003.9531727456706</v>
      </c>
      <c r="S135" s="534">
        <f t="shared" ref="S135" si="292">$AN112-S112</f>
        <v>-22.264077669902917</v>
      </c>
      <c r="T135" s="562">
        <f t="shared" si="232"/>
        <v>1.0576858040230661</v>
      </c>
      <c r="U135" s="531">
        <f t="shared" ref="U135" si="293">$AM112-U112</f>
        <v>14577.025384178265</v>
      </c>
      <c r="V135" s="534">
        <f t="shared" ref="V135" si="294">$AN112-V112</f>
        <v>199.66572836030969</v>
      </c>
      <c r="W135" s="562">
        <f t="shared" si="235"/>
        <v>-0.48434313880250102</v>
      </c>
      <c r="X135" s="531">
        <f t="shared" ref="X135" si="295">$AM112-X112</f>
        <v>-388.48758781746437</v>
      </c>
      <c r="Y135" s="534">
        <f t="shared" ref="Y135" si="296">$AN112-Y112</f>
        <v>-7.9988412514484253</v>
      </c>
      <c r="Z135" s="562">
        <f t="shared" si="238"/>
        <v>0.34226335829342247</v>
      </c>
      <c r="AA135" s="531">
        <f t="shared" ref="AA135" si="297">$AM112-AA112</f>
        <v>11289.534502818398</v>
      </c>
      <c r="AB135" s="534">
        <f t="shared" ref="AB135" si="298">$AN112-AB112</f>
        <v>173.61290322580641</v>
      </c>
      <c r="AC135" s="562">
        <f t="shared" si="241"/>
        <v>-3.7622230387069351</v>
      </c>
      <c r="AD135" s="531">
        <f t="shared" ref="AD135" si="299">$AM112-AD112</f>
        <v>2611.8569268754654</v>
      </c>
      <c r="AE135" s="534">
        <f t="shared" ref="AE135" si="300">$AN112-AE112</f>
        <v>37.549902152641948</v>
      </c>
      <c r="AF135" s="562">
        <f t="shared" si="244"/>
        <v>-0.30076429905108171</v>
      </c>
      <c r="AG135" s="531">
        <f t="shared" ref="AG135" si="301">$AM112-AG112</f>
        <v>7066.7550268763662</v>
      </c>
      <c r="AH135" s="534">
        <f t="shared" ref="AH135" si="302">$AN112-AH112</f>
        <v>74.735682819383328</v>
      </c>
      <c r="AI135" s="562">
        <f t="shared" si="247"/>
        <v>3.019333429171482</v>
      </c>
      <c r="AJ135" s="531">
        <f t="shared" ref="AJ135" si="303">$AM112-AJ112</f>
        <v>18283.36759716045</v>
      </c>
      <c r="AK135" s="534">
        <f t="shared" ref="AK135" si="304">$AN112-AK112</f>
        <v>239.70152284263963</v>
      </c>
      <c r="AL135" s="562">
        <f t="shared" si="250"/>
        <v>1.6200079478154379</v>
      </c>
      <c r="AM135" s="531"/>
      <c r="AN135" s="534"/>
      <c r="AO135" s="534"/>
      <c r="AP135" s="531">
        <f t="shared" si="213"/>
        <v>9141.0932574481358</v>
      </c>
      <c r="AQ135" s="534">
        <f t="shared" si="214"/>
        <v>122.54598938299355</v>
      </c>
      <c r="AR135" s="562">
        <f t="shared" si="214"/>
        <v>-1.8751898406313992E-2</v>
      </c>
      <c r="AS135" s="531">
        <f t="shared" si="251"/>
        <v>-1003.9531727456706</v>
      </c>
      <c r="AT135" s="534">
        <f t="shared" si="252"/>
        <v>-22.264077669902917</v>
      </c>
      <c r="AU135" s="562">
        <f t="shared" si="252"/>
        <v>-5.498747596108899</v>
      </c>
      <c r="AV135" s="531">
        <f t="shared" si="253"/>
        <v>18283.36759716045</v>
      </c>
      <c r="AW135" s="534">
        <f t="shared" si="254"/>
        <v>251.55</v>
      </c>
      <c r="AX135" s="562">
        <f t="shared" si="254"/>
        <v>4.8958582926893257</v>
      </c>
    </row>
    <row r="136" spans="1:50" outlineLevel="1" x14ac:dyDescent="0.25">
      <c r="A136" s="444">
        <v>5</v>
      </c>
      <c r="B136" s="530">
        <f t="shared" ref="B136" si="305">$AM113-B113</f>
        <v>14260.597634219583</v>
      </c>
      <c r="C136" s="533">
        <f t="shared" si="188"/>
        <v>221.39</v>
      </c>
      <c r="D136" s="561">
        <f t="shared" si="216"/>
        <v>-5.2165035298080227</v>
      </c>
      <c r="E136" s="444">
        <f t="shared" ref="E136" si="306">$AM113-E113</f>
        <v>44966</v>
      </c>
      <c r="F136" s="444">
        <f t="shared" ref="F136" si="307">$AN113-F113</f>
        <v>611</v>
      </c>
      <c r="G136" s="444">
        <f t="shared" ref="G136" si="308">$AM113-G113</f>
        <v>44966</v>
      </c>
      <c r="H136" s="444">
        <f t="shared" ref="H136" si="309">$AN113-H113</f>
        <v>611</v>
      </c>
      <c r="I136" s="530">
        <f t="shared" ref="I136" si="310">$AM113-I113</f>
        <v>7859.9551809336699</v>
      </c>
      <c r="J136" s="533">
        <f t="shared" ref="J136" si="311">$AN113-J113</f>
        <v>128.375</v>
      </c>
      <c r="K136" s="561">
        <f t="shared" si="223"/>
        <v>-3.2896937292672561</v>
      </c>
      <c r="L136" s="530">
        <f t="shared" ref="L136" si="312">$AM113-L113</f>
        <v>9238.1032408002793</v>
      </c>
      <c r="M136" s="533">
        <f t="shared" ref="M136" si="313">$AN113-M113</f>
        <v>106.13698630136992</v>
      </c>
      <c r="N136" s="561">
        <f t="shared" si="226"/>
        <v>2.8266012112942605</v>
      </c>
      <c r="O136" s="530">
        <f t="shared" ref="O136" si="314">$AM113-O113</f>
        <v>13325.368564303168</v>
      </c>
      <c r="P136" s="533">
        <f t="shared" ref="P136" si="315">$AN113-P113</f>
        <v>153.9022727272727</v>
      </c>
      <c r="Q136" s="561">
        <f t="shared" si="229"/>
        <v>4.3733931749597872</v>
      </c>
      <c r="R136" s="530">
        <f t="shared" ref="R136" si="316">$AM113-R113</f>
        <v>-566.907219201712</v>
      </c>
      <c r="S136" s="533">
        <f t="shared" ref="S136" si="317">$AN113-S113</f>
        <v>-14.666019417475809</v>
      </c>
      <c r="T136" s="561">
        <f t="shared" si="232"/>
        <v>0.81900787660360663</v>
      </c>
      <c r="U136" s="530">
        <f t="shared" ref="U136" si="318">$AM113-U113</f>
        <v>14395.381210025513</v>
      </c>
      <c r="V136" s="533">
        <f t="shared" ref="V136" si="319">$AN113-V113</f>
        <v>193.06052076002811</v>
      </c>
      <c r="W136" s="561">
        <f t="shared" si="235"/>
        <v>0.44806580901284576</v>
      </c>
      <c r="X136" s="530">
        <f t="shared" ref="X136" si="320">$AM113-X113</f>
        <v>189.52710871158342</v>
      </c>
      <c r="Y136" s="533">
        <f t="shared" ref="Y136" si="321">$AN113-Y113</f>
        <v>4.5793742757821292</v>
      </c>
      <c r="Z136" s="561">
        <f t="shared" si="238"/>
        <v>-0.24321048814351798</v>
      </c>
      <c r="AA136" s="530">
        <f t="shared" ref="AA136" si="322">$AM113-AA113</f>
        <v>10877.761027863031</v>
      </c>
      <c r="AB136" s="533">
        <f t="shared" ref="AB136" si="323">$AN113-AB113</f>
        <v>167.5322580645161</v>
      </c>
      <c r="AC136" s="561">
        <f t="shared" si="241"/>
        <v>-3.2733521102924925</v>
      </c>
      <c r="AD136" s="530">
        <f t="shared" ref="AD136" si="324">$AM113-AD113</f>
        <v>1702.4127951024784</v>
      </c>
      <c r="AE136" s="533">
        <f t="shared" ref="AE136" si="325">$AN113-AE113</f>
        <v>29.205479452054874</v>
      </c>
      <c r="AF136" s="561">
        <f t="shared" si="244"/>
        <v>-0.7682066411290549</v>
      </c>
      <c r="AG136" s="530">
        <f t="shared" ref="AG136" si="326">$AM113-AG113</f>
        <v>6793.7826995819269</v>
      </c>
      <c r="AH136" s="533">
        <f t="shared" ref="AH136" si="327">$AN113-AH113</f>
        <v>72.903083700440561</v>
      </c>
      <c r="AI136" s="561">
        <f t="shared" si="247"/>
        <v>2.6548103873012678</v>
      </c>
      <c r="AJ136" s="530">
        <f t="shared" ref="AJ136" si="328">$AM113-AJ113</f>
        <v>17948.968888121388</v>
      </c>
      <c r="AK136" s="533">
        <f t="shared" ref="AK136" si="329">$AN113-AK113</f>
        <v>235.76852791878173</v>
      </c>
      <c r="AL136" s="561">
        <f t="shared" si="250"/>
        <v>1.5931349615196382</v>
      </c>
      <c r="AM136" s="530"/>
      <c r="AN136" s="533"/>
      <c r="AO136" s="533"/>
      <c r="AP136" s="530">
        <f t="shared" si="213"/>
        <v>8729.541011860083</v>
      </c>
      <c r="AQ136" s="533">
        <f t="shared" si="214"/>
        <v>118.01704398025186</v>
      </c>
      <c r="AR136" s="561">
        <f t="shared" si="214"/>
        <v>-6.9048252680852847E-3</v>
      </c>
      <c r="AS136" s="530">
        <f t="shared" si="251"/>
        <v>-566.907219201712</v>
      </c>
      <c r="AT136" s="533">
        <f t="shared" si="252"/>
        <v>-14.666019417475809</v>
      </c>
      <c r="AU136" s="561">
        <f t="shared" si="252"/>
        <v>-5.2165035298080227</v>
      </c>
      <c r="AV136" s="530">
        <f t="shared" si="253"/>
        <v>17948.968888121388</v>
      </c>
      <c r="AW136" s="533">
        <f t="shared" si="254"/>
        <v>235.76852791878173</v>
      </c>
      <c r="AX136" s="561">
        <f t="shared" si="254"/>
        <v>4.3733931749597872</v>
      </c>
    </row>
    <row r="137" spans="1:50" outlineLevel="1" x14ac:dyDescent="0.25">
      <c r="A137" s="445">
        <v>6</v>
      </c>
      <c r="B137" s="531">
        <f t="shared" ref="B137" si="330">$AM114-B114</f>
        <v>14853.56315461803</v>
      </c>
      <c r="C137" s="534">
        <f t="shared" si="188"/>
        <v>229.35000000000002</v>
      </c>
      <c r="D137" s="562">
        <f t="shared" si="216"/>
        <v>-4.9589225142329383</v>
      </c>
      <c r="E137" s="445">
        <f t="shared" ref="E137" si="331">$AM114-E114</f>
        <v>46520</v>
      </c>
      <c r="F137" s="445">
        <f t="shared" ref="F137" si="332">$AN114-F114</f>
        <v>633</v>
      </c>
      <c r="G137" s="445">
        <f t="shared" ref="G137" si="333">$AM114-G114</f>
        <v>46520</v>
      </c>
      <c r="H137" s="445">
        <f t="shared" ref="H137" si="334">$AN114-H114</f>
        <v>633</v>
      </c>
      <c r="I137" s="531">
        <f t="shared" ref="I137" si="335">$AM114-I114</f>
        <v>8218.7307633283199</v>
      </c>
      <c r="J137" s="534">
        <f t="shared" ref="J137" si="336">$AN114-J114</f>
        <v>132.09375</v>
      </c>
      <c r="K137" s="562">
        <f t="shared" si="223"/>
        <v>-2.9726363519459795</v>
      </c>
      <c r="L137" s="531">
        <f t="shared" ref="L137" si="337">$AM114-L114</f>
        <v>8634.1982418107291</v>
      </c>
      <c r="M137" s="534">
        <f t="shared" ref="M137" si="338">$AN114-M114</f>
        <v>102.89383561643842</v>
      </c>
      <c r="N137" s="562">
        <f t="shared" si="226"/>
        <v>2.022982221906318</v>
      </c>
      <c r="O137" s="531">
        <f t="shared" ref="O137" si="339">$AM114-O114</f>
        <v>10165.42758219083</v>
      </c>
      <c r="P137" s="534">
        <f t="shared" ref="P137" si="340">$AN114-P114</f>
        <v>106.5</v>
      </c>
      <c r="Q137" s="562">
        <f t="shared" si="229"/>
        <v>4.4417909546838814</v>
      </c>
      <c r="R137" s="531">
        <f t="shared" ref="R137" si="341">$AM114-R114</f>
        <v>-510.96948804194108</v>
      </c>
      <c r="S137" s="534">
        <f t="shared" ref="S137" si="342">$AN114-S114</f>
        <v>-16.520388349514633</v>
      </c>
      <c r="T137" s="562">
        <f t="shared" si="232"/>
        <v>1.0825457155474965</v>
      </c>
      <c r="U137" s="531">
        <f t="shared" ref="U137" si="343">$AM114-U114</f>
        <v>11559.553183450415</v>
      </c>
      <c r="V137" s="534">
        <f t="shared" ref="V137" si="344">$AN114-V114</f>
        <v>149.85010555946519</v>
      </c>
      <c r="W137" s="562">
        <f t="shared" si="235"/>
        <v>1.1318898053329036</v>
      </c>
      <c r="X137" s="531">
        <f t="shared" ref="X137" si="345">$AM114-X114</f>
        <v>690.77705651876022</v>
      </c>
      <c r="Y137" s="534">
        <f t="shared" ref="Y137" si="346">$AN114-Y114</f>
        <v>13.157589803012797</v>
      </c>
      <c r="Z137" s="562">
        <f t="shared" si="238"/>
        <v>-0.44558337088423627</v>
      </c>
      <c r="AA137" s="531">
        <f t="shared" ref="AA137" si="347">$AM114-AA114</f>
        <v>11509.584943130525</v>
      </c>
      <c r="AB137" s="534">
        <f t="shared" ref="AB137" si="348">$AN114-AB114</f>
        <v>178.20967741935482</v>
      </c>
      <c r="AC137" s="562">
        <f t="shared" si="241"/>
        <v>-3.4901312606390462</v>
      </c>
      <c r="AD137" s="531">
        <f t="shared" ref="AD137" si="349">$AM114-AD114</f>
        <v>924.36117838057544</v>
      </c>
      <c r="AE137" s="534">
        <f t="shared" ref="AE137" si="350">$AN114-AE114</f>
        <v>14.113502935420797</v>
      </c>
      <c r="AF137" s="562">
        <f t="shared" si="244"/>
        <v>-0.18235760310771809</v>
      </c>
      <c r="AG137" s="531">
        <f t="shared" ref="AG137" si="351">$AM114-AG114</f>
        <v>5241.1260534872927</v>
      </c>
      <c r="AH137" s="534">
        <f t="shared" ref="AH137" si="352">$AN114-AH114</f>
        <v>62.431718061674133</v>
      </c>
      <c r="AI137" s="562">
        <f t="shared" si="247"/>
        <v>1.1443630014312305</v>
      </c>
      <c r="AJ137" s="531">
        <f t="shared" ref="AJ137" si="353">$AM114-AJ114</f>
        <v>15979.89453418526</v>
      </c>
      <c r="AK137" s="534">
        <f t="shared" ref="AK137" si="354">$AN114-AK114</f>
        <v>210.73096446700509</v>
      </c>
      <c r="AL137" s="562">
        <f t="shared" si="250"/>
        <v>1.1675012850040645</v>
      </c>
      <c r="AM137" s="531"/>
      <c r="AN137" s="534"/>
      <c r="AO137" s="534"/>
      <c r="AP137" s="531">
        <f t="shared" si="213"/>
        <v>7933.2952002780721</v>
      </c>
      <c r="AQ137" s="534">
        <f t="shared" si="214"/>
        <v>107.5282505011688</v>
      </c>
      <c r="AR137" s="562">
        <f t="shared" si="214"/>
        <v>-9.6232556082183993E-2</v>
      </c>
      <c r="AS137" s="531">
        <f t="shared" si="251"/>
        <v>-510.96948804194108</v>
      </c>
      <c r="AT137" s="534">
        <f t="shared" si="252"/>
        <v>-16.520388349514633</v>
      </c>
      <c r="AU137" s="562">
        <f t="shared" si="252"/>
        <v>-4.9589225142329383</v>
      </c>
      <c r="AV137" s="531">
        <f t="shared" si="253"/>
        <v>15979.89453418526</v>
      </c>
      <c r="AW137" s="534">
        <f t="shared" si="254"/>
        <v>229.35000000000002</v>
      </c>
      <c r="AX137" s="562">
        <f t="shared" si="254"/>
        <v>4.4417909546838814</v>
      </c>
    </row>
    <row r="138" spans="1:50" outlineLevel="1" x14ac:dyDescent="0.25">
      <c r="A138" s="444">
        <v>7</v>
      </c>
      <c r="B138" s="530">
        <f t="shared" ref="B138" si="355">$AM115-B115</f>
        <v>14648.184355086792</v>
      </c>
      <c r="C138" s="533">
        <f t="shared" si="188"/>
        <v>225.76</v>
      </c>
      <c r="D138" s="561">
        <f t="shared" si="216"/>
        <v>-4.4601780605495094</v>
      </c>
      <c r="E138" s="444">
        <f t="shared" ref="E138" si="356">$AM115-E115</f>
        <v>48572</v>
      </c>
      <c r="F138" s="444">
        <f t="shared" ref="F138" si="357">$AN115-F115</f>
        <v>661</v>
      </c>
      <c r="G138" s="444">
        <f t="shared" ref="G138" si="358">$AM115-G115</f>
        <v>48572</v>
      </c>
      <c r="H138" s="444">
        <f t="shared" ref="H138" si="359">$AN115-H115</f>
        <v>661</v>
      </c>
      <c r="I138" s="530">
        <f t="shared" ref="I138" si="360">$AM115-I115</f>
        <v>7639.8260565973978</v>
      </c>
      <c r="J138" s="533">
        <f t="shared" ref="J138" si="361">$AN115-J115</f>
        <v>121.703125</v>
      </c>
      <c r="K138" s="561">
        <f t="shared" si="223"/>
        <v>-2.41654701651143</v>
      </c>
      <c r="L138" s="530">
        <f t="shared" ref="L138" si="362">$AM115-L115</f>
        <v>9171.5825999889785</v>
      </c>
      <c r="M138" s="533">
        <f t="shared" ref="M138" si="363">$AN115-M115</f>
        <v>105.65068493150693</v>
      </c>
      <c r="N138" s="561">
        <f t="shared" si="226"/>
        <v>2.5355129059606298</v>
      </c>
      <c r="O138" s="530">
        <f t="shared" ref="O138" si="364">$AM115-O115</f>
        <v>9557.8337194435007</v>
      </c>
      <c r="P138" s="533">
        <f t="shared" ref="P138" si="365">$AN115-P115</f>
        <v>96.209090909090946</v>
      </c>
      <c r="Q138" s="561">
        <f t="shared" si="229"/>
        <v>4.4054168223793084</v>
      </c>
      <c r="R138" s="530">
        <f t="shared" ref="R138" si="366">$AM115-R115</f>
        <v>-2518.5482781567916</v>
      </c>
      <c r="S138" s="533">
        <f t="shared" ref="S138" si="367">$AN115-S115</f>
        <v>-50.541747572815552</v>
      </c>
      <c r="T138" s="561">
        <f t="shared" si="232"/>
        <v>1.6800010022779901</v>
      </c>
      <c r="U138" s="530">
        <f t="shared" ref="U138" si="368">$AM115-U115</f>
        <v>10477.185865504369</v>
      </c>
      <c r="V138" s="533">
        <f t="shared" ref="V138" si="369">$AN115-V115</f>
        <v>135.61154116819137</v>
      </c>
      <c r="W138" s="561">
        <f t="shared" si="235"/>
        <v>0.97470154630273953</v>
      </c>
      <c r="X138" s="530">
        <f t="shared" ref="X138" si="370">$AM115-X115</f>
        <v>1435.2094121873888</v>
      </c>
      <c r="Y138" s="533">
        <f t="shared" ref="Y138" si="371">$AN115-Y115</f>
        <v>22.855156431054411</v>
      </c>
      <c r="Z138" s="561">
        <f t="shared" si="238"/>
        <v>-0.38274532285569762</v>
      </c>
      <c r="AA138" s="530">
        <f t="shared" ref="AA138" si="372">$AM115-AA115</f>
        <v>10133.395348137448</v>
      </c>
      <c r="AB138" s="533">
        <f t="shared" ref="AB138" si="373">$AN115-AB115</f>
        <v>166.58064516129025</v>
      </c>
      <c r="AC138" s="561">
        <f t="shared" si="241"/>
        <v>-4.2623410677305742</v>
      </c>
      <c r="AD138" s="530">
        <f t="shared" ref="AD138" si="374">$AM115-AD115</f>
        <v>660.37659135493595</v>
      </c>
      <c r="AE138" s="533">
        <f t="shared" ref="AE138" si="375">$AN115-AE115</f>
        <v>6.3953033268102217</v>
      </c>
      <c r="AF138" s="561">
        <f t="shared" si="244"/>
        <v>0.29091306942162021</v>
      </c>
      <c r="AG138" s="530">
        <f t="shared" ref="AG138" si="376">$AM115-AG115</f>
        <v>6047.4126683920622</v>
      </c>
      <c r="AH138" s="533">
        <f t="shared" ref="AH138" si="377">$AN115-AH115</f>
        <v>71.876651982378917</v>
      </c>
      <c r="AI138" s="561">
        <f t="shared" si="247"/>
        <v>1.2997774604815646</v>
      </c>
      <c r="AJ138" s="530">
        <f t="shared" ref="AJ138" si="378">$AM115-AJ115</f>
        <v>14797.045711031977</v>
      </c>
      <c r="AK138" s="533">
        <f t="shared" ref="AK138" si="379">$AN115-AK115</f>
        <v>195.96954314720813</v>
      </c>
      <c r="AL138" s="561">
        <f t="shared" si="250"/>
        <v>0.85304895379020707</v>
      </c>
      <c r="AM138" s="530"/>
      <c r="AN138" s="533"/>
      <c r="AO138" s="533"/>
      <c r="AP138" s="530">
        <f t="shared" si="213"/>
        <v>7459.0458226880055</v>
      </c>
      <c r="AQ138" s="533">
        <f t="shared" si="214"/>
        <v>99.824544953155964</v>
      </c>
      <c r="AR138" s="561">
        <f t="shared" si="214"/>
        <v>4.705093572425896E-2</v>
      </c>
      <c r="AS138" s="530">
        <f t="shared" si="251"/>
        <v>-2518.5482781567916</v>
      </c>
      <c r="AT138" s="533">
        <f t="shared" si="252"/>
        <v>-50.541747572815552</v>
      </c>
      <c r="AU138" s="561">
        <f t="shared" si="252"/>
        <v>-4.4601780605495094</v>
      </c>
      <c r="AV138" s="530">
        <f t="shared" si="253"/>
        <v>14797.045711031977</v>
      </c>
      <c r="AW138" s="533">
        <f t="shared" si="254"/>
        <v>225.76</v>
      </c>
      <c r="AX138" s="561">
        <f t="shared" si="254"/>
        <v>4.4054168223793084</v>
      </c>
    </row>
    <row r="139" spans="1:50" outlineLevel="1" x14ac:dyDescent="0.25">
      <c r="A139" s="445">
        <v>8</v>
      </c>
      <c r="B139" s="531">
        <f t="shared" ref="B139" si="380">$AM116-B116</f>
        <v>12905.162217095145</v>
      </c>
      <c r="C139" s="534">
        <f t="shared" si="188"/>
        <v>209.64</v>
      </c>
      <c r="D139" s="562">
        <f t="shared" si="216"/>
        <v>-5.1422530274333837</v>
      </c>
      <c r="E139" s="445">
        <f t="shared" ref="E139" si="381">$AM116-E116</f>
        <v>50335</v>
      </c>
      <c r="F139" s="445">
        <f t="shared" ref="F139" si="382">$AN116-F116</f>
        <v>687</v>
      </c>
      <c r="G139" s="445">
        <f t="shared" ref="G139" si="383">$AM116-G116</f>
        <v>50335</v>
      </c>
      <c r="H139" s="445">
        <f t="shared" ref="H139" si="384">$AN116-H116</f>
        <v>687</v>
      </c>
      <c r="I139" s="531">
        <f t="shared" ref="I139" si="385">$AM116-I116</f>
        <v>7545.0251910622683</v>
      </c>
      <c r="J139" s="534">
        <f t="shared" ref="J139" si="386">$AN116-J116</f>
        <v>123.9375</v>
      </c>
      <c r="K139" s="562">
        <f t="shared" si="223"/>
        <v>-2.7272401058174438</v>
      </c>
      <c r="L139" s="531">
        <f t="shared" ref="L139" si="387">$AM116-L116</f>
        <v>8954.0396557108979</v>
      </c>
      <c r="M139" s="534">
        <f t="shared" ref="M139" si="388">$AN116-M116</f>
        <v>100.9982876712329</v>
      </c>
      <c r="N139" s="562">
        <f t="shared" si="226"/>
        <v>2.6520642098590343</v>
      </c>
      <c r="O139" s="531">
        <f t="shared" ref="O139" si="389">$AM116-O116</f>
        <v>7884.3125466813581</v>
      </c>
      <c r="P139" s="534">
        <f t="shared" ref="P139" si="390">$AN116-P116</f>
        <v>81.524999999999977</v>
      </c>
      <c r="Q139" s="562">
        <f t="shared" si="229"/>
        <v>3.1564517315884899</v>
      </c>
      <c r="R139" s="531">
        <f t="shared" ref="R139" si="391">$AM116-R116</f>
        <v>-3133.9259066442755</v>
      </c>
      <c r="S139" s="534">
        <f t="shared" ref="S139" si="392">$AN116-S116</f>
        <v>-51.803883495145669</v>
      </c>
      <c r="T139" s="562">
        <f t="shared" si="232"/>
        <v>0.89554521432467027</v>
      </c>
      <c r="U139" s="531">
        <f t="shared" ref="U139" si="393">$AM116-U116</f>
        <v>7986.5339866278227</v>
      </c>
      <c r="V139" s="534">
        <f t="shared" ref="V139" si="394">$AN116-V116</f>
        <v>100.10626319493315</v>
      </c>
      <c r="W139" s="562">
        <f t="shared" si="235"/>
        <v>1.1108743490098476</v>
      </c>
      <c r="X139" s="531">
        <f t="shared" ref="X139" si="395">$AM116-X116</f>
        <v>1956.8571421635497</v>
      </c>
      <c r="Y139" s="534">
        <f t="shared" ref="Y139" si="396">$AN116-Y116</f>
        <v>29.332560834298988</v>
      </c>
      <c r="Z139" s="562">
        <f t="shared" si="238"/>
        <v>-0.29236048614897925</v>
      </c>
      <c r="AA139" s="531">
        <f t="shared" ref="AA139" si="397">$AM116-AA116</f>
        <v>8466.6687930031549</v>
      </c>
      <c r="AB139" s="534">
        <f t="shared" ref="AB139" si="398">$AN116-AB116</f>
        <v>145.40322580645159</v>
      </c>
      <c r="AC139" s="562">
        <f t="shared" si="241"/>
        <v>-4.0375244245033599</v>
      </c>
      <c r="AD139" s="531">
        <f t="shared" ref="AD139" si="399">$AM116-AD116</f>
        <v>245.51663058919075</v>
      </c>
      <c r="AE139" s="534">
        <f t="shared" ref="AE139" si="400">$AN116-AE116</f>
        <v>4.2328767123287889</v>
      </c>
      <c r="AF139" s="562">
        <f t="shared" si="244"/>
        <v>-9.4639978177369244E-2</v>
      </c>
      <c r="AG139" s="531">
        <f t="shared" ref="AG139" si="401">$AM116-AG116</f>
        <v>5407.9654257084039</v>
      </c>
      <c r="AH139" s="534">
        <f t="shared" ref="AH139" si="402">$AN116-AH116</f>
        <v>65.405286343612374</v>
      </c>
      <c r="AI139" s="562">
        <f t="shared" si="247"/>
        <v>0.99077732812318686</v>
      </c>
      <c r="AJ139" s="531">
        <f t="shared" ref="AJ139" si="403">$AM116-AJ116</f>
        <v>13476.104051638438</v>
      </c>
      <c r="AK139" s="534">
        <f t="shared" ref="AK139" si="404">$AN116-AK116</f>
        <v>178.13908629441624</v>
      </c>
      <c r="AL139" s="562">
        <f t="shared" si="250"/>
        <v>0.83370434708272967</v>
      </c>
      <c r="AM139" s="531"/>
      <c r="AN139" s="534"/>
      <c r="AO139" s="534"/>
      <c r="AP139" s="531">
        <f t="shared" si="213"/>
        <v>6517.6599757850872</v>
      </c>
      <c r="AQ139" s="534">
        <f t="shared" si="214"/>
        <v>89.719654851102575</v>
      </c>
      <c r="AR139" s="562">
        <f t="shared" si="214"/>
        <v>-0.24132734928114338</v>
      </c>
      <c r="AS139" s="531">
        <f t="shared" si="251"/>
        <v>-3133.9259066442755</v>
      </c>
      <c r="AT139" s="534">
        <f t="shared" si="252"/>
        <v>-51.803883495145669</v>
      </c>
      <c r="AU139" s="562">
        <f t="shared" si="252"/>
        <v>-5.1422530274333837</v>
      </c>
      <c r="AV139" s="531">
        <f t="shared" si="253"/>
        <v>13476.104051638438</v>
      </c>
      <c r="AW139" s="534">
        <f t="shared" si="254"/>
        <v>209.64</v>
      </c>
      <c r="AX139" s="562">
        <f t="shared" si="254"/>
        <v>3.1564517315884899</v>
      </c>
    </row>
    <row r="140" spans="1:50" outlineLevel="1" x14ac:dyDescent="0.25">
      <c r="A140" s="444">
        <v>9</v>
      </c>
      <c r="B140" s="530">
        <f t="shared" ref="B140" si="405">$AM117-B117</f>
        <v>12537.030835713762</v>
      </c>
      <c r="C140" s="533">
        <f t="shared" si="188"/>
        <v>206.57999999999998</v>
      </c>
      <c r="D140" s="561">
        <f t="shared" si="216"/>
        <v>-5.202686050534723</v>
      </c>
      <c r="E140" s="444">
        <f t="shared" ref="E140" si="406">$AM117-E117</f>
        <v>51635</v>
      </c>
      <c r="F140" s="444">
        <f t="shared" ref="F140" si="407">$AN117-F117</f>
        <v>705</v>
      </c>
      <c r="G140" s="444">
        <f t="shared" ref="G140" si="408">$AM117-G117</f>
        <v>51635</v>
      </c>
      <c r="H140" s="444">
        <f t="shared" ref="H140" si="409">$AN117-H117</f>
        <v>705</v>
      </c>
      <c r="I140" s="530">
        <f t="shared" ref="I140" si="410">$AM117-I117</f>
        <v>6602.7300957613334</v>
      </c>
      <c r="J140" s="533">
        <f t="shared" ref="J140" si="411">$AN117-J117</f>
        <v>103.546875</v>
      </c>
      <c r="K140" s="561">
        <f t="shared" si="223"/>
        <v>-1.6313167035896043</v>
      </c>
      <c r="L140" s="530">
        <f t="shared" ref="L140" si="412">$AM117-L117</f>
        <v>7083.3410189046699</v>
      </c>
      <c r="M140" s="533">
        <f t="shared" ref="M140" si="413">$AN117-M117</f>
        <v>73.921232876712338</v>
      </c>
      <c r="N140" s="561">
        <f t="shared" si="226"/>
        <v>2.6450993564137377</v>
      </c>
      <c r="O140" s="530">
        <f t="shared" ref="O140" si="414">$AM117-O117</f>
        <v>7045.5800640563102</v>
      </c>
      <c r="P140" s="533">
        <f t="shared" ref="P140" si="415">$AN117-P117</f>
        <v>66.020454545454641</v>
      </c>
      <c r="Q140" s="561">
        <f t="shared" si="229"/>
        <v>3.4589011057421715</v>
      </c>
      <c r="R140" s="530">
        <f t="shared" ref="R140" si="416">$AM117-R117</f>
        <v>-3390.6064953349342</v>
      </c>
      <c r="S140" s="533">
        <f t="shared" ref="S140" si="417">$AN117-S117</f>
        <v>-52.88737864077666</v>
      </c>
      <c r="T140" s="561">
        <f t="shared" si="232"/>
        <v>0.6371990667377645</v>
      </c>
      <c r="U140" s="530">
        <f t="shared" ref="U140" si="418">$AM117-U117</f>
        <v>6474.5428550701909</v>
      </c>
      <c r="V140" s="533">
        <f t="shared" ref="V140" si="419">$AN117-V117</f>
        <v>74.385643912737578</v>
      </c>
      <c r="W140" s="561">
        <f t="shared" si="235"/>
        <v>1.6277045959257066</v>
      </c>
      <c r="X140" s="530">
        <f t="shared" ref="X140" si="420">$AM117-X117</f>
        <v>2079.4882675379995</v>
      </c>
      <c r="Y140" s="533">
        <f t="shared" ref="Y140" si="421">$AN117-Y117</f>
        <v>32.690614136732279</v>
      </c>
      <c r="Z140" s="561">
        <f t="shared" si="238"/>
        <v>-0.4682507996886045</v>
      </c>
      <c r="AA140" s="530">
        <f t="shared" ref="AA140" si="422">$AM117-AA117</f>
        <v>5169.6210106116196</v>
      </c>
      <c r="AB140" s="533">
        <f t="shared" ref="AB140" si="423">$AN117-AB117</f>
        <v>93.580645161290249</v>
      </c>
      <c r="AC140" s="561">
        <f t="shared" si="241"/>
        <v>-2.7547895212584876</v>
      </c>
      <c r="AD140" s="530">
        <f t="shared" ref="AD140" si="424">$AM117-AD117</f>
        <v>-716.30651762159687</v>
      </c>
      <c r="AE140" s="533">
        <f t="shared" ref="AE140" si="425">$AN117-AE117</f>
        <v>-9.3639921722113968</v>
      </c>
      <c r="AF140" s="561">
        <f t="shared" si="244"/>
        <v>-4.266327174391904E-2</v>
      </c>
      <c r="AG140" s="530">
        <f t="shared" ref="AG140" si="426">$AM117-AG117</f>
        <v>5919.8610392195915</v>
      </c>
      <c r="AH140" s="533">
        <f t="shared" ref="AH140" si="427">$AN117-AH117</f>
        <v>64.850220264317272</v>
      </c>
      <c r="AI140" s="561">
        <f t="shared" si="247"/>
        <v>1.827943014589053</v>
      </c>
      <c r="AJ140" s="530">
        <f t="shared" ref="AJ140" si="428">$AM117-AJ117</f>
        <v>11172.927316938847</v>
      </c>
      <c r="AK140" s="533">
        <f t="shared" ref="AK140" si="429">$AN117-AK117</f>
        <v>144.82538071065994</v>
      </c>
      <c r="AL140" s="561">
        <f t="shared" si="250"/>
        <v>1.0099566694940592</v>
      </c>
      <c r="AM140" s="530"/>
      <c r="AN140" s="533"/>
      <c r="AO140" s="533"/>
      <c r="AP140" s="530">
        <f t="shared" si="213"/>
        <v>5452.5644991688905</v>
      </c>
      <c r="AQ140" s="533">
        <f t="shared" si="214"/>
        <v>72.559063254083298</v>
      </c>
      <c r="AR140" s="561">
        <f t="shared" si="214"/>
        <v>0.1006452238261049</v>
      </c>
      <c r="AS140" s="530">
        <f t="shared" si="251"/>
        <v>-3390.6064953349342</v>
      </c>
      <c r="AT140" s="533">
        <f t="shared" si="252"/>
        <v>-52.88737864077666</v>
      </c>
      <c r="AU140" s="561">
        <f t="shared" si="252"/>
        <v>-5.202686050534723</v>
      </c>
      <c r="AV140" s="530">
        <f t="shared" si="253"/>
        <v>12537.030835713762</v>
      </c>
      <c r="AW140" s="533">
        <f t="shared" si="254"/>
        <v>206.57999999999998</v>
      </c>
      <c r="AX140" s="561">
        <f t="shared" si="254"/>
        <v>3.4589011057421715</v>
      </c>
    </row>
    <row r="141" spans="1:50" outlineLevel="1" x14ac:dyDescent="0.25">
      <c r="A141" s="445">
        <v>10</v>
      </c>
      <c r="B141" s="531">
        <f t="shared" ref="B141" si="430">$AM118-B118</f>
        <v>9341.3852450010963</v>
      </c>
      <c r="C141" s="534">
        <f t="shared" si="188"/>
        <v>161.88999999999999</v>
      </c>
      <c r="D141" s="562">
        <f t="shared" si="216"/>
        <v>-4.6133966076067026</v>
      </c>
      <c r="E141" s="445">
        <f t="shared" ref="E141" si="431">$AM118-E118</f>
        <v>53657</v>
      </c>
      <c r="F141" s="445">
        <f t="shared" ref="F141" si="432">$AN118-F118</f>
        <v>727</v>
      </c>
      <c r="G141" s="445">
        <f t="shared" ref="G141" si="433">$AM118-G118</f>
        <v>53657</v>
      </c>
      <c r="H141" s="445">
        <f t="shared" ref="H141" si="434">$AN118-H118</f>
        <v>727</v>
      </c>
      <c r="I141" s="531">
        <f t="shared" ref="I141" si="435">$AM118-I118</f>
        <v>5843.9079141217226</v>
      </c>
      <c r="J141" s="534">
        <f t="shared" ref="J141" si="436">$AN118-J118</f>
        <v>87.15625</v>
      </c>
      <c r="K141" s="562">
        <f t="shared" si="223"/>
        <v>-0.92014781577643134</v>
      </c>
      <c r="L141" s="531">
        <f t="shared" ref="L141" si="437">$AM118-L118</f>
        <v>6747.5517995260016</v>
      </c>
      <c r="M141" s="534">
        <f t="shared" ref="M141" si="438">$AN118-M118</f>
        <v>61.662671232876733</v>
      </c>
      <c r="N141" s="562">
        <f t="shared" si="226"/>
        <v>3.3012929959892006</v>
      </c>
      <c r="O141" s="531">
        <f t="shared" ref="O141" si="439">$AM118-O118</f>
        <v>6272.1936627296163</v>
      </c>
      <c r="P141" s="534">
        <f t="shared" ref="P141" si="440">$AN118-P118</f>
        <v>52.122727272727275</v>
      </c>
      <c r="Q141" s="562">
        <f t="shared" si="229"/>
        <v>3.593573272076398</v>
      </c>
      <c r="R141" s="531">
        <f t="shared" ref="R141" si="441">$AM118-R118</f>
        <v>-2947.4857376967557</v>
      </c>
      <c r="S141" s="534">
        <f t="shared" ref="S141" si="442">$AN118-S118</f>
        <v>-49.970873786407878</v>
      </c>
      <c r="T141" s="562">
        <f t="shared" si="232"/>
        <v>0.9532753542369079</v>
      </c>
      <c r="U141" s="531">
        <f t="shared" ref="U141" si="443">$AM118-U118</f>
        <v>6440.699890580232</v>
      </c>
      <c r="V141" s="534">
        <f t="shared" ref="V141" si="444">$AN118-V118</f>
        <v>65.262491203377863</v>
      </c>
      <c r="W141" s="562">
        <f t="shared" si="235"/>
        <v>2.4540441368247059</v>
      </c>
      <c r="X141" s="531">
        <f t="shared" ref="X141" si="445">$AM118-X118</f>
        <v>2799.5005704797295</v>
      </c>
      <c r="Y141" s="534">
        <f t="shared" ref="Y141" si="446">$AN118-Y118</f>
        <v>37.608342989571156</v>
      </c>
      <c r="Z141" s="562">
        <f t="shared" si="238"/>
        <v>3.449017953228406E-2</v>
      </c>
      <c r="AA141" s="531">
        <f t="shared" ref="AA141" si="447">$AM118-AA118</f>
        <v>5543.9997392228906</v>
      </c>
      <c r="AB141" s="534">
        <f t="shared" ref="AB141" si="448">$AN118-AB118</f>
        <v>92.935483870967687</v>
      </c>
      <c r="AC141" s="562">
        <f t="shared" si="241"/>
        <v>-2.0742391469684094</v>
      </c>
      <c r="AD141" s="531">
        <f t="shared" ref="AD141" si="449">$AM118-AD118</f>
        <v>-508.5851450991031</v>
      </c>
      <c r="AE141" s="534">
        <f t="shared" ref="AE141" si="450">$AN118-AE118</f>
        <v>-10.031311154598711</v>
      </c>
      <c r="AF141" s="562">
        <f t="shared" si="244"/>
        <v>0.31448640892438107</v>
      </c>
      <c r="AG141" s="531">
        <f t="shared" ref="AG141" si="451">$AM118-AG118</f>
        <v>6548.6958656845236</v>
      </c>
      <c r="AH141" s="534">
        <f t="shared" ref="AH141" si="452">$AN118-AH118</f>
        <v>63.656387665198281</v>
      </c>
      <c r="AI141" s="562">
        <f t="shared" si="247"/>
        <v>2.7896088180599463</v>
      </c>
      <c r="AJ141" s="531">
        <f t="shared" ref="AJ141" si="453">$AM118-AJ118</f>
        <v>10506.491162564933</v>
      </c>
      <c r="AK141" s="534">
        <f t="shared" ref="AK141" si="454">$AN118-AK118</f>
        <v>124.06395939086292</v>
      </c>
      <c r="AL141" s="562">
        <f t="shared" si="250"/>
        <v>2.2387450742296551</v>
      </c>
      <c r="AM141" s="531"/>
      <c r="AN141" s="534"/>
      <c r="AO141" s="534"/>
      <c r="AP141" s="531">
        <f t="shared" si="213"/>
        <v>5144.3959061013529</v>
      </c>
      <c r="AQ141" s="534">
        <f t="shared" si="214"/>
        <v>62.396011698597754</v>
      </c>
      <c r="AR141" s="562">
        <f t="shared" si="214"/>
        <v>0.73379387904744864</v>
      </c>
      <c r="AS141" s="531">
        <f t="shared" si="251"/>
        <v>-2947.4857376967557</v>
      </c>
      <c r="AT141" s="534">
        <f t="shared" si="252"/>
        <v>-49.970873786407878</v>
      </c>
      <c r="AU141" s="562">
        <f t="shared" si="252"/>
        <v>-4.6133966076067026</v>
      </c>
      <c r="AV141" s="531">
        <f t="shared" si="253"/>
        <v>10506.491162564933</v>
      </c>
      <c r="AW141" s="534">
        <f t="shared" si="254"/>
        <v>161.88999999999999</v>
      </c>
      <c r="AX141" s="562">
        <f t="shared" si="254"/>
        <v>3.593573272076398</v>
      </c>
    </row>
    <row r="142" spans="1:50" outlineLevel="1" x14ac:dyDescent="0.25">
      <c r="A142" s="444">
        <v>11</v>
      </c>
      <c r="B142" s="530">
        <f t="shared" ref="B142" si="455">$AM119-B119</f>
        <v>6814.7305903464439</v>
      </c>
      <c r="C142" s="533">
        <f t="shared" si="188"/>
        <v>128.22000000000003</v>
      </c>
      <c r="D142" s="561">
        <f t="shared" si="216"/>
        <v>-4.2192260556866188</v>
      </c>
      <c r="E142" s="444">
        <f t="shared" ref="E142" si="456">$AM119-E119</f>
        <v>55502</v>
      </c>
      <c r="F142" s="444">
        <f t="shared" ref="F142" si="457">$AN119-F119</f>
        <v>753</v>
      </c>
      <c r="G142" s="444">
        <f t="shared" ref="G142" si="458">$AM119-G119</f>
        <v>55502</v>
      </c>
      <c r="H142" s="444">
        <f t="shared" ref="H142" si="459">$AN119-H119</f>
        <v>753</v>
      </c>
      <c r="I142" s="530">
        <f t="shared" ref="I142" si="460">$AM119-I119</f>
        <v>6668.8811730763264</v>
      </c>
      <c r="J142" s="533">
        <f t="shared" ref="J142" si="461">$AN119-J119</f>
        <v>102.1875</v>
      </c>
      <c r="K142" s="561">
        <f t="shared" si="223"/>
        <v>-1.326247189834902</v>
      </c>
      <c r="L142" s="530">
        <f t="shared" ref="L142" si="462">$AM119-L119</f>
        <v>6468.4300490529276</v>
      </c>
      <c r="M142" s="533">
        <f t="shared" ref="M142" si="463">$AN119-M119</f>
        <v>57.010273972602704</v>
      </c>
      <c r="N142" s="561">
        <f t="shared" si="226"/>
        <v>3.2562638189534994</v>
      </c>
      <c r="O142" s="530">
        <f t="shared" ref="O142" si="464">$AM119-O119</f>
        <v>6729.19992910765</v>
      </c>
      <c r="P142" s="533">
        <f t="shared" ref="P142" si="465">$AN119-P119</f>
        <v>56.584090909090946</v>
      </c>
      <c r="Q142" s="561">
        <f t="shared" si="229"/>
        <v>3.6738234163615289</v>
      </c>
      <c r="R142" s="530">
        <f t="shared" ref="R142" si="466">$AM119-R119</f>
        <v>-2216.2338148548952</v>
      </c>
      <c r="S142" s="533">
        <f t="shared" ref="S142" si="467">$AN119-S119</f>
        <v>-39.64660194174769</v>
      </c>
      <c r="T142" s="561">
        <f t="shared" si="232"/>
        <v>0.89072657417338519</v>
      </c>
      <c r="U142" s="530">
        <f t="shared" ref="U142" si="468">$AM119-U119</f>
        <v>6220.5932425733699</v>
      </c>
      <c r="V142" s="533">
        <f t="shared" ref="V142" si="469">$AN119-V119</f>
        <v>60.139338494018261</v>
      </c>
      <c r="W142" s="561">
        <f t="shared" si="235"/>
        <v>2.5803929759756556</v>
      </c>
      <c r="X142" s="530">
        <f t="shared" ref="X142" si="470">$AM119-X119</f>
        <v>3545.2509576776793</v>
      </c>
      <c r="Y142" s="533">
        <f t="shared" ref="Y142" si="471">$AN119-Y119</f>
        <v>42.865585168018583</v>
      </c>
      <c r="Z142" s="561">
        <f t="shared" si="238"/>
        <v>0.5431668384628523</v>
      </c>
      <c r="AA142" s="530">
        <f t="shared" ref="AA142" si="472">$AM119-AA119</f>
        <v>6544.440141622028</v>
      </c>
      <c r="AB142" s="533">
        <f t="shared" ref="AB142" si="473">$AN119-AB119</f>
        <v>101.95161290322585</v>
      </c>
      <c r="AC142" s="561">
        <f t="shared" si="241"/>
        <v>-1.4902003793154392</v>
      </c>
      <c r="AD142" s="530">
        <f t="shared" ref="AD142" si="474">$AM119-AD119</f>
        <v>-191.24869444633077</v>
      </c>
      <c r="AE142" s="533">
        <f t="shared" ref="AE142" si="475">$AN119-AE119</f>
        <v>-5.3248532289627519</v>
      </c>
      <c r="AF142" s="561">
        <f t="shared" si="244"/>
        <v>0.26536742087370158</v>
      </c>
      <c r="AG142" s="530">
        <f t="shared" ref="AG142" si="476">$AM119-AG119</f>
        <v>5820.9163846306983</v>
      </c>
      <c r="AH142" s="533">
        <f t="shared" ref="AH142" si="477">$AN119-AH119</f>
        <v>57.185022026431739</v>
      </c>
      <c r="AI142" s="561">
        <f t="shared" si="247"/>
        <v>2.3079873944450924</v>
      </c>
      <c r="AJ142" s="530">
        <f t="shared" ref="AJ142" si="478">$AM119-AJ119</f>
        <v>9960.5781367410527</v>
      </c>
      <c r="AK142" s="533">
        <f t="shared" ref="AK142" si="479">$AN119-AK119</f>
        <v>115.85482233502546</v>
      </c>
      <c r="AL142" s="561">
        <f t="shared" si="250"/>
        <v>2.2305277042665494</v>
      </c>
      <c r="AM142" s="530"/>
      <c r="AN142" s="533"/>
      <c r="AO142" s="533"/>
      <c r="AP142" s="530">
        <f t="shared" si="213"/>
        <v>5124.139826866086</v>
      </c>
      <c r="AQ142" s="533">
        <f t="shared" si="214"/>
        <v>61.547890057973014</v>
      </c>
      <c r="AR142" s="561">
        <f t="shared" si="214"/>
        <v>0.79205295624320948</v>
      </c>
      <c r="AS142" s="530">
        <f t="shared" si="251"/>
        <v>-2216.2338148548952</v>
      </c>
      <c r="AT142" s="533">
        <f t="shared" si="252"/>
        <v>-39.64660194174769</v>
      </c>
      <c r="AU142" s="561">
        <f t="shared" si="252"/>
        <v>-4.2192260556866188</v>
      </c>
      <c r="AV142" s="530">
        <f t="shared" si="253"/>
        <v>9960.5781367410527</v>
      </c>
      <c r="AW142" s="533">
        <f t="shared" si="254"/>
        <v>128.22000000000003</v>
      </c>
      <c r="AX142" s="561">
        <f t="shared" si="254"/>
        <v>3.6738234163615289</v>
      </c>
    </row>
    <row r="143" spans="1:50" outlineLevel="1" x14ac:dyDescent="0.25">
      <c r="A143" s="445">
        <v>12</v>
      </c>
      <c r="B143" s="531">
        <f t="shared" ref="B143" si="480">$AM120-B120</f>
        <v>5122.7499816889977</v>
      </c>
      <c r="C143" s="534">
        <f t="shared" si="188"/>
        <v>97.57000000000005</v>
      </c>
      <c r="D143" s="562">
        <f t="shared" si="216"/>
        <v>-3.0335279001635342</v>
      </c>
      <c r="E143" s="445">
        <f t="shared" ref="E143" si="481">$AM120-E120</f>
        <v>57013</v>
      </c>
      <c r="F143" s="445">
        <f t="shared" ref="F143" si="482">$AN120-F120</f>
        <v>775</v>
      </c>
      <c r="G143" s="445">
        <f t="shared" ref="G143" si="483">$AM120-G120</f>
        <v>57013</v>
      </c>
      <c r="H143" s="445">
        <f t="shared" ref="H143" si="484">$AN120-H120</f>
        <v>775</v>
      </c>
      <c r="I143" s="531">
        <f t="shared" ref="I143" si="485">$AM120-I120</f>
        <v>6362.0583008501781</v>
      </c>
      <c r="J143" s="534">
        <f t="shared" ref="J143" si="486">$AN120-J120</f>
        <v>96.765625</v>
      </c>
      <c r="K143" s="562">
        <f t="shared" si="223"/>
        <v>-1.1154263740077965</v>
      </c>
      <c r="L143" s="531">
        <f t="shared" ref="L143" si="487">$AM120-L120</f>
        <v>6840.6530469769059</v>
      </c>
      <c r="M143" s="534">
        <f t="shared" ref="M143" si="488">$AN120-M120</f>
        <v>62.782534246575437</v>
      </c>
      <c r="N143" s="562">
        <f t="shared" si="226"/>
        <v>3.1198979184844546</v>
      </c>
      <c r="O143" s="531">
        <f t="shared" ref="O143" si="489">$AM120-O120</f>
        <v>4424.42959502741</v>
      </c>
      <c r="P143" s="534">
        <f t="shared" ref="P143" si="490">$AN120-P120</f>
        <v>30.720454545454572</v>
      </c>
      <c r="Q143" s="562">
        <f t="shared" si="229"/>
        <v>2.9081470996991214</v>
      </c>
      <c r="R143" s="531">
        <f t="shared" ref="R143" si="491">$AM120-R120</f>
        <v>-1875.8659420453914</v>
      </c>
      <c r="S143" s="534">
        <f t="shared" ref="S143" si="492">$AN120-S120</f>
        <v>-35.366990291262255</v>
      </c>
      <c r="T143" s="562">
        <f t="shared" si="232"/>
        <v>0.89578229589989178</v>
      </c>
      <c r="U143" s="531">
        <f t="shared" ref="U143" si="493">$AM120-U120</f>
        <v>5631.0530051143287</v>
      </c>
      <c r="V143" s="534">
        <f t="shared" ref="V143" si="494">$AN120-V120</f>
        <v>51.757213230119532</v>
      </c>
      <c r="W143" s="562">
        <f t="shared" si="235"/>
        <v>2.5213182893217976</v>
      </c>
      <c r="X143" s="531">
        <f t="shared" ref="X143" si="495">$AM120-X120</f>
        <v>3796.2988634101566</v>
      </c>
      <c r="Y143" s="534">
        <f t="shared" ref="Y143" si="496">$AN120-Y120</f>
        <v>45.342989571263047</v>
      </c>
      <c r="Z143" s="562">
        <f t="shared" si="238"/>
        <v>0.63130281163763868</v>
      </c>
      <c r="AA143" s="531">
        <f t="shared" ref="AA143" si="497">$AM120-AA120</f>
        <v>6221.0782130749649</v>
      </c>
      <c r="AB143" s="534">
        <f t="shared" ref="AB143" si="498">$AN120-AB120</f>
        <v>93.758064516129025</v>
      </c>
      <c r="AC143" s="562">
        <f t="shared" si="241"/>
        <v>-0.9926707240096988</v>
      </c>
      <c r="AD143" s="531">
        <f t="shared" ref="AD143" si="499">$AM120-AD120</f>
        <v>-179.92451464520855</v>
      </c>
      <c r="AE143" s="534">
        <f t="shared" ref="AE143" si="500">$AN120-AE120</f>
        <v>-5.9921722113502938</v>
      </c>
      <c r="AF143" s="562">
        <f t="shared" si="244"/>
        <v>0.33405021182666417</v>
      </c>
      <c r="AG143" s="531">
        <f t="shared" ref="AG143" si="501">$AM120-AG120</f>
        <v>4657.446014997673</v>
      </c>
      <c r="AH143" s="534">
        <f t="shared" ref="AH143" si="502">$AN120-AH120</f>
        <v>60.629955947136636</v>
      </c>
      <c r="AI143" s="562">
        <f t="shared" si="247"/>
        <v>0.27603834786053483</v>
      </c>
      <c r="AJ143" s="531">
        <f t="shared" ref="AJ143" si="503">$AM120-AJ120</f>
        <v>9070.2947134076021</v>
      </c>
      <c r="AK143" s="534">
        <f t="shared" ref="AK143" si="504">$AN120-AK120</f>
        <v>107.92182741116744</v>
      </c>
      <c r="AL143" s="562">
        <f t="shared" si="250"/>
        <v>1.6954655685546385</v>
      </c>
      <c r="AM143" s="531"/>
      <c r="AN143" s="534"/>
      <c r="AO143" s="534"/>
      <c r="AP143" s="531">
        <f t="shared" si="213"/>
        <v>4551.8428434416019</v>
      </c>
      <c r="AQ143" s="534">
        <f t="shared" si="214"/>
        <v>55.080863815021196</v>
      </c>
      <c r="AR143" s="562">
        <f t="shared" si="214"/>
        <v>0.65821614046397381</v>
      </c>
      <c r="AS143" s="531">
        <f t="shared" si="251"/>
        <v>-1875.8659420453914</v>
      </c>
      <c r="AT143" s="534">
        <f t="shared" si="252"/>
        <v>-35.366990291262255</v>
      </c>
      <c r="AU143" s="562">
        <f t="shared" si="252"/>
        <v>-3.0335279001635342</v>
      </c>
      <c r="AV143" s="531">
        <f t="shared" si="253"/>
        <v>9070.2947134076021</v>
      </c>
      <c r="AW143" s="534">
        <f t="shared" si="254"/>
        <v>107.92182741116744</v>
      </c>
      <c r="AX143" s="562">
        <f t="shared" si="254"/>
        <v>3.1198979184844546</v>
      </c>
    </row>
    <row r="144" spans="1:50" outlineLevel="1" x14ac:dyDescent="0.25">
      <c r="A144" s="444">
        <v>13</v>
      </c>
      <c r="B144" s="530">
        <f t="shared" ref="B144" si="505">$AM121-B121</f>
        <v>4955.4174906613916</v>
      </c>
      <c r="C144" s="533">
        <f t="shared" si="188"/>
        <v>97.529999999999973</v>
      </c>
      <c r="D144" s="561">
        <f t="shared" si="216"/>
        <v>-3.1757230598109913</v>
      </c>
      <c r="E144" s="444">
        <f t="shared" ref="E144" si="506">$AM121-E121</f>
        <v>57853</v>
      </c>
      <c r="F144" s="444">
        <f t="shared" ref="F144" si="507">$AN121-F121</f>
        <v>789</v>
      </c>
      <c r="G144" s="444">
        <f t="shared" ref="G144" si="508">$AM121-G121</f>
        <v>57853</v>
      </c>
      <c r="H144" s="444">
        <f t="shared" ref="H144" si="509">$AN121-H121</f>
        <v>789</v>
      </c>
      <c r="I144" s="530">
        <f t="shared" ref="I144" si="510">$AM121-I121</f>
        <v>5492.4111752248136</v>
      </c>
      <c r="J144" s="533">
        <f t="shared" ref="J144" si="511">$AN121-J121</f>
        <v>83.34375</v>
      </c>
      <c r="K144" s="561">
        <f t="shared" si="223"/>
        <v>-0.87680708541905972</v>
      </c>
      <c r="L144" s="530">
        <f t="shared" ref="L144" si="512">$AM121-L121</f>
        <v>5714.890273924786</v>
      </c>
      <c r="M144" s="533">
        <f t="shared" ref="M144" si="513">$AN121-M121</f>
        <v>49.736301369863099</v>
      </c>
      <c r="N144" s="561">
        <f t="shared" si="226"/>
        <v>2.7973817334666649</v>
      </c>
      <c r="O144" s="530">
        <f t="shared" ref="O144" si="514">$AM121-O121</f>
        <v>3938.5124504702981</v>
      </c>
      <c r="P144" s="533">
        <f t="shared" ref="P144" si="515">$AN121-P121</f>
        <v>25.575000000000045</v>
      </c>
      <c r="Q144" s="561">
        <f t="shared" si="229"/>
        <v>2.7026090992710152</v>
      </c>
      <c r="R144" s="530">
        <f t="shared" ref="R144" si="516">$AM121-R121</f>
        <v>-1957.1100693988701</v>
      </c>
      <c r="S144" s="533">
        <f t="shared" ref="S144" si="517">$AN121-S121</f>
        <v>-32.271844660194233</v>
      </c>
      <c r="T144" s="561">
        <f t="shared" si="232"/>
        <v>0.49825835322457124</v>
      </c>
      <c r="U144" s="530">
        <f t="shared" ref="U144" si="518">$AM121-U121</f>
        <v>4656.0658120639855</v>
      </c>
      <c r="V144" s="533">
        <f t="shared" ref="V144" si="519">$AN121-V121</f>
        <v>39.821252638986607</v>
      </c>
      <c r="W144" s="561">
        <f t="shared" si="235"/>
        <v>2.3174628463550278</v>
      </c>
      <c r="X144" s="530">
        <f t="shared" ref="X144" si="520">$AM121-X121</f>
        <v>2148.7583690591127</v>
      </c>
      <c r="Y144" s="533">
        <f t="shared" ref="Y144" si="521">$AN121-Y121</f>
        <v>27.618771726535329</v>
      </c>
      <c r="Z144" s="561">
        <f t="shared" si="238"/>
        <v>0.16237175891886579</v>
      </c>
      <c r="AA144" s="530">
        <f t="shared" ref="AA144" si="522">$AM121-AA121</f>
        <v>5375.0329381557094</v>
      </c>
      <c r="AB144" s="533">
        <f t="shared" ref="AB144" si="523">$AN121-AB121</f>
        <v>81.338709677419274</v>
      </c>
      <c r="AC144" s="561">
        <f t="shared" si="241"/>
        <v>-0.83243798038698458</v>
      </c>
      <c r="AD144" s="530">
        <f t="shared" ref="AD144" si="524">$AM121-AD121</f>
        <v>-385.31802746397443</v>
      </c>
      <c r="AE144" s="533">
        <f t="shared" ref="AE144" si="525">$AN121-AE121</f>
        <v>-7.1037181996085792</v>
      </c>
      <c r="AF144" s="561">
        <f t="shared" si="244"/>
        <v>0.17027716358957434</v>
      </c>
      <c r="AG144" s="530">
        <f t="shared" ref="AG144" si="526">$AM121-AG121</f>
        <v>4950.8574888844669</v>
      </c>
      <c r="AH144" s="533">
        <f t="shared" ref="AH144" si="527">$AN121-AH121</f>
        <v>69.991189427312861</v>
      </c>
      <c r="AI144" s="561">
        <f t="shared" si="247"/>
        <v>-0.25202580552230813</v>
      </c>
      <c r="AJ144" s="530">
        <f t="shared" ref="AJ144" si="528">$AM121-AJ121</f>
        <v>7814.0440168207642</v>
      </c>
      <c r="AK144" s="533">
        <f t="shared" ref="AK144" si="529">$AN121-AK121</f>
        <v>87.712690355329983</v>
      </c>
      <c r="AL144" s="561">
        <f t="shared" si="250"/>
        <v>1.9714576672289894</v>
      </c>
      <c r="AM144" s="530"/>
      <c r="AN144" s="533"/>
      <c r="AO144" s="533"/>
      <c r="AP144" s="530">
        <f t="shared" si="213"/>
        <v>3882.1419925820442</v>
      </c>
      <c r="AQ144" s="533">
        <f t="shared" si="214"/>
        <v>47.572009303240399</v>
      </c>
      <c r="AR144" s="561">
        <f t="shared" si="214"/>
        <v>0.49843860826503317</v>
      </c>
      <c r="AS144" s="530">
        <f t="shared" si="251"/>
        <v>-1957.1100693988701</v>
      </c>
      <c r="AT144" s="533">
        <f t="shared" si="252"/>
        <v>-32.271844660194233</v>
      </c>
      <c r="AU144" s="561">
        <f t="shared" si="252"/>
        <v>-3.1757230598109913</v>
      </c>
      <c r="AV144" s="530">
        <f t="shared" si="253"/>
        <v>7814.0440168207642</v>
      </c>
      <c r="AW144" s="533">
        <f t="shared" si="254"/>
        <v>97.529999999999973</v>
      </c>
      <c r="AX144" s="561">
        <f t="shared" si="254"/>
        <v>2.7973817334666649</v>
      </c>
    </row>
    <row r="145" spans="1:50" outlineLevel="1" x14ac:dyDescent="0.25">
      <c r="A145" s="445">
        <v>14</v>
      </c>
      <c r="B145" s="531">
        <f t="shared" ref="B145" si="530">$AM122-B122</f>
        <v>4992.1315644913193</v>
      </c>
      <c r="C145" s="534">
        <f t="shared" si="188"/>
        <v>86.449999999999932</v>
      </c>
      <c r="D145" s="562">
        <f t="shared" si="216"/>
        <v>-1.8663869892145328</v>
      </c>
      <c r="E145" s="445">
        <f t="shared" ref="E145" si="531">$AM122-E122</f>
        <v>59064</v>
      </c>
      <c r="F145" s="445">
        <f t="shared" ref="F145" si="532">$AN122-F122</f>
        <v>806</v>
      </c>
      <c r="G145" s="445">
        <f t="shared" ref="G145" si="533">$AM122-G122</f>
        <v>59064</v>
      </c>
      <c r="H145" s="445">
        <f t="shared" ref="H145" si="534">$AN122-H122</f>
        <v>806</v>
      </c>
      <c r="I145" s="531">
        <f t="shared" ref="I145" si="535">$AM122-I122</f>
        <v>4324.1326616739752</v>
      </c>
      <c r="J145" s="534">
        <f t="shared" ref="J145" si="536">$AN122-J122</f>
        <v>69.265625000000114</v>
      </c>
      <c r="K145" s="562">
        <f t="shared" si="223"/>
        <v>-1.02028609473534</v>
      </c>
      <c r="L145" s="531">
        <f t="shared" ref="L145" si="537">$AM122-L122</f>
        <v>5988.4051275927268</v>
      </c>
      <c r="M145" s="534">
        <f t="shared" ref="M145" si="538">$AN122-M122</f>
        <v>54.114726027397296</v>
      </c>
      <c r="N145" s="562">
        <f t="shared" si="226"/>
        <v>2.690379223498411</v>
      </c>
      <c r="O145" s="531">
        <f t="shared" ref="O145" si="539">$AM122-O122</f>
        <v>3138.8129327915158</v>
      </c>
      <c r="P145" s="534">
        <f t="shared" ref="P145" si="540">$AN122-P122</f>
        <v>16.25</v>
      </c>
      <c r="Q145" s="562">
        <f t="shared" si="229"/>
        <v>2.4666115621128313</v>
      </c>
      <c r="R145" s="531">
        <f t="shared" ref="R145" si="541">$AM122-R122</f>
        <v>-2200.4687388239836</v>
      </c>
      <c r="S145" s="534">
        <f t="shared" ref="S145" si="542">$AN122-S122</f>
        <v>-33.673786407767125</v>
      </c>
      <c r="T145" s="562">
        <f t="shared" si="232"/>
        <v>0.31817082146312714</v>
      </c>
      <c r="U145" s="531">
        <f t="shared" ref="U145" si="543">$AM122-U122</f>
        <v>3298.709557001057</v>
      </c>
      <c r="V145" s="534">
        <f t="shared" ref="V145" si="544">$AN122-V122</f>
        <v>20.510907811400443</v>
      </c>
      <c r="W145" s="562">
        <f t="shared" si="235"/>
        <v>2.2860433163876763</v>
      </c>
      <c r="X145" s="531">
        <f t="shared" ref="X145" si="545">$AM122-X122</f>
        <v>1039.988289386165</v>
      </c>
      <c r="Y145" s="534">
        <f t="shared" ref="Y145" si="546">$AN122-Y122</f>
        <v>12.894553881807724</v>
      </c>
      <c r="Z145" s="562">
        <f t="shared" si="238"/>
        <v>0.1198708973274023</v>
      </c>
      <c r="AA145" s="531">
        <f t="shared" ref="AA145" si="547">$AM122-AA122</f>
        <v>4003.9399009046974</v>
      </c>
      <c r="AB145" s="534">
        <f t="shared" ref="AB145" si="548">$AN122-AB122</f>
        <v>60.596774193548413</v>
      </c>
      <c r="AC145" s="562">
        <f t="shared" si="241"/>
        <v>-0.58574440672535388</v>
      </c>
      <c r="AD145" s="531">
        <f t="shared" ref="AD145" si="549">$AM122-AD122</f>
        <v>-1223.900896299805</v>
      </c>
      <c r="AE145" s="534">
        <f t="shared" ref="AE145" si="550">$AN122-AE122</f>
        <v>-23.074363992172152</v>
      </c>
      <c r="AF145" s="562">
        <f t="shared" si="244"/>
        <v>0.56327595975309919</v>
      </c>
      <c r="AG145" s="531">
        <f t="shared" ref="AG145" si="551">$AM122-AG122</f>
        <v>4593.2755325502658</v>
      </c>
      <c r="AH145" s="534">
        <f t="shared" ref="AH145" si="552">$AN122-AH122</f>
        <v>68.436123348017645</v>
      </c>
      <c r="AI145" s="562">
        <f t="shared" si="247"/>
        <v>-0.57181590695064699</v>
      </c>
      <c r="AJ145" s="531">
        <f t="shared" ref="AJ145" si="553">$AM122-AJ122</f>
        <v>5836.6831825034169</v>
      </c>
      <c r="AK145" s="534">
        <f t="shared" ref="AK145" si="554">$AN122-AK122</f>
        <v>61.951269035533073</v>
      </c>
      <c r="AL145" s="562">
        <f t="shared" si="250"/>
        <v>1.7429901262799916</v>
      </c>
      <c r="AM145" s="531"/>
      <c r="AN145" s="534"/>
      <c r="AO145" s="534"/>
      <c r="AP145" s="531">
        <f t="shared" si="213"/>
        <v>3071.9735557973954</v>
      </c>
      <c r="AQ145" s="534">
        <f t="shared" si="214"/>
        <v>35.792893536160484</v>
      </c>
      <c r="AR145" s="562">
        <f t="shared" si="214"/>
        <v>0.55846440992696955</v>
      </c>
      <c r="AS145" s="531">
        <f t="shared" si="251"/>
        <v>-2200.4687388239836</v>
      </c>
      <c r="AT145" s="534">
        <f t="shared" si="252"/>
        <v>-33.673786407767125</v>
      </c>
      <c r="AU145" s="562">
        <f t="shared" si="252"/>
        <v>-1.8663869892145328</v>
      </c>
      <c r="AV145" s="531">
        <f t="shared" si="253"/>
        <v>5988.4051275927268</v>
      </c>
      <c r="AW145" s="534">
        <f t="shared" si="254"/>
        <v>86.449999999999932</v>
      </c>
      <c r="AX145" s="562">
        <f t="shared" si="254"/>
        <v>2.690379223498411</v>
      </c>
    </row>
    <row r="146" spans="1:50" outlineLevel="1" x14ac:dyDescent="0.25">
      <c r="A146" s="444">
        <v>15</v>
      </c>
      <c r="B146" s="530">
        <f t="shared" ref="B146" si="555">$AM123-B123</f>
        <v>3680.6072841133791</v>
      </c>
      <c r="C146" s="533">
        <f t="shared" si="188"/>
        <v>73.8599999999999</v>
      </c>
      <c r="D146" s="561">
        <f t="shared" si="216"/>
        <v>-2.2944297364675634</v>
      </c>
      <c r="E146" s="444">
        <f t="shared" ref="E146" si="556">$AM123-E123</f>
        <v>60362</v>
      </c>
      <c r="F146" s="444">
        <f t="shared" ref="F146" si="557">$AN123-F123</f>
        <v>825</v>
      </c>
      <c r="G146" s="444">
        <f t="shared" ref="G146" si="558">$AM123-G123</f>
        <v>60362</v>
      </c>
      <c r="H146" s="444">
        <f t="shared" ref="H146" si="559">$AN123-H123</f>
        <v>825</v>
      </c>
      <c r="I146" s="530">
        <f t="shared" ref="I146" si="560">$AM123-I123</f>
        <v>3060.6015315674667</v>
      </c>
      <c r="J146" s="533">
        <f t="shared" ref="J146" si="561">$AN123-J123</f>
        <v>53.531249999999886</v>
      </c>
      <c r="K146" s="561">
        <f t="shared" si="223"/>
        <v>-1.1096614739750663</v>
      </c>
      <c r="L146" s="530">
        <f t="shared" ref="L146" si="562">$AM123-L123</f>
        <v>6156.777755323259</v>
      </c>
      <c r="M146" s="533">
        <f t="shared" ref="M146" si="563">$AN123-M123</f>
        <v>55.083904109589071</v>
      </c>
      <c r="N146" s="561">
        <f t="shared" si="226"/>
        <v>2.7619964047683965</v>
      </c>
      <c r="O146" s="530">
        <f t="shared" ref="O146" si="564">$AM123-O123</f>
        <v>2985.7726634005521</v>
      </c>
      <c r="P146" s="533">
        <f t="shared" ref="P146" si="565">$AN123-P123</f>
        <v>18.497727272727275</v>
      </c>
      <c r="Q146" s="561">
        <f t="shared" si="229"/>
        <v>2.0240077230902216</v>
      </c>
      <c r="R146" s="530">
        <f t="shared" ref="R146" si="566">$AM123-R123</f>
        <v>-4941.2362911221135</v>
      </c>
      <c r="S146" s="533">
        <f t="shared" ref="S146" si="567">$AN123-S123</f>
        <v>-69.879611650485458</v>
      </c>
      <c r="T146" s="561">
        <f t="shared" si="232"/>
        <v>0.19173485214265895</v>
      </c>
      <c r="U146" s="530">
        <f t="shared" ref="U146" si="568">$AM123-U123</f>
        <v>2695.5701072434749</v>
      </c>
      <c r="V146" s="533">
        <f t="shared" ref="V146" si="569">$AN123-V123</f>
        <v>12.833919774806532</v>
      </c>
      <c r="W146" s="561">
        <f t="shared" si="235"/>
        <v>2.1628122596546007</v>
      </c>
      <c r="X146" s="530">
        <f t="shared" ref="X146" si="570">$AM123-X123</f>
        <v>-1073.9634698762457</v>
      </c>
      <c r="Y146" s="533">
        <f t="shared" ref="Y146" si="571">$AN123-Y123</f>
        <v>-16.911935110081117</v>
      </c>
      <c r="Z146" s="561">
        <f t="shared" si="238"/>
        <v>0.1941012979372374</v>
      </c>
      <c r="AA146" s="530">
        <f t="shared" ref="AA146" si="572">$AM123-AA123</f>
        <v>2579.2150107319831</v>
      </c>
      <c r="AB146" s="533">
        <f t="shared" ref="AB146" si="573">$AN123-AB123</f>
        <v>41.854838709677324</v>
      </c>
      <c r="AC146" s="561">
        <f t="shared" si="241"/>
        <v>-0.61692094753050242</v>
      </c>
      <c r="AD146" s="530">
        <f t="shared" ref="AD146" si="574">$AM123-AD123</f>
        <v>-2537.5706588649118</v>
      </c>
      <c r="AE146" s="533">
        <f t="shared" ref="AE146" si="575">$AN123-AE123</f>
        <v>-38.418786692759227</v>
      </c>
      <c r="AF146" s="561">
        <f t="shared" si="244"/>
        <v>0.31662574514504627</v>
      </c>
      <c r="AG146" s="530">
        <f t="shared" ref="AG146" si="576">$AM123-AG123</f>
        <v>3102.4029132656433</v>
      </c>
      <c r="AH146" s="533">
        <f t="shared" ref="AH146" si="577">$AN123-AH123</f>
        <v>64.242290748898768</v>
      </c>
      <c r="AI146" s="561">
        <f t="shared" si="247"/>
        <v>-2.100474836743345</v>
      </c>
      <c r="AJ146" s="530">
        <f t="shared" ref="AJ146" si="578">$AM123-AJ123</f>
        <v>3212.1697244923198</v>
      </c>
      <c r="AK146" s="533">
        <f t="shared" ref="AK146" si="579">$AN123-AK123</f>
        <v>47.811167512690304</v>
      </c>
      <c r="AL146" s="561">
        <f t="shared" si="250"/>
        <v>-0.36797370656037742</v>
      </c>
      <c r="AM146" s="530"/>
      <c r="AN146" s="533"/>
      <c r="AO146" s="533"/>
      <c r="AP146" s="530">
        <f t="shared" si="213"/>
        <v>1720.0315063886189</v>
      </c>
      <c r="AQ146" s="533">
        <f t="shared" si="214"/>
        <v>22.045887697733022</v>
      </c>
      <c r="AR146" s="561">
        <f t="shared" si="214"/>
        <v>0.10561978013284606</v>
      </c>
      <c r="AS146" s="530">
        <f t="shared" si="251"/>
        <v>-4941.2362911221135</v>
      </c>
      <c r="AT146" s="533">
        <f t="shared" si="252"/>
        <v>-69.879611650485458</v>
      </c>
      <c r="AU146" s="561">
        <f t="shared" si="252"/>
        <v>-2.2944297364675634</v>
      </c>
      <c r="AV146" s="530">
        <f t="shared" si="253"/>
        <v>6156.777755323259</v>
      </c>
      <c r="AW146" s="533">
        <f t="shared" si="254"/>
        <v>73.8599999999999</v>
      </c>
      <c r="AX146" s="561">
        <f t="shared" si="254"/>
        <v>2.7619964047683965</v>
      </c>
    </row>
    <row r="147" spans="1:50" outlineLevel="1" x14ac:dyDescent="0.25">
      <c r="A147" s="445">
        <v>16</v>
      </c>
      <c r="B147" s="531">
        <f t="shared" ref="B147" si="580">$AM124-B124</f>
        <v>2046.6354830440105</v>
      </c>
      <c r="C147" s="534">
        <f t="shared" si="188"/>
        <v>49.759999999999991</v>
      </c>
      <c r="D147" s="562">
        <f t="shared" si="216"/>
        <v>-2.0421317476614718</v>
      </c>
      <c r="E147" s="445">
        <f t="shared" ref="E147" si="581">$AM124-E124</f>
        <v>61360</v>
      </c>
      <c r="F147" s="445">
        <f t="shared" ref="F147" si="582">$AN124-F124</f>
        <v>836</v>
      </c>
      <c r="G147" s="445">
        <f t="shared" ref="G147" si="583">$AM124-G124</f>
        <v>61360</v>
      </c>
      <c r="H147" s="445">
        <f t="shared" ref="H147" si="584">$AN124-H124</f>
        <v>836</v>
      </c>
      <c r="I147" s="531">
        <f t="shared" ref="I147" si="585">$AM124-I124</f>
        <v>539.36229704428843</v>
      </c>
      <c r="J147" s="534">
        <f t="shared" ref="J147" si="586">$AN124-J124</f>
        <v>22.484375</v>
      </c>
      <c r="K147" s="562">
        <f t="shared" si="223"/>
        <v>-1.3655868988511912</v>
      </c>
      <c r="L147" s="531">
        <f t="shared" ref="L147" si="587">$AM124-L124</f>
        <v>5020.0987396887722</v>
      </c>
      <c r="M147" s="534">
        <f t="shared" ref="M147" si="588">$AN124-M124</f>
        <v>35.431506849315042</v>
      </c>
      <c r="N147" s="562">
        <f t="shared" si="226"/>
        <v>3.0222621485781787</v>
      </c>
      <c r="O147" s="531">
        <f t="shared" ref="O147" si="589">$AM124-O124</f>
        <v>1376.5559226766927</v>
      </c>
      <c r="P147" s="534">
        <f t="shared" ref="P147" si="590">$AN124-P124</f>
        <v>0.77954545454542767</v>
      </c>
      <c r="Q147" s="562">
        <f t="shared" si="229"/>
        <v>1.5796302845104577</v>
      </c>
      <c r="R147" s="531">
        <f t="shared" ref="R147" si="591">$AM124-R124</f>
        <v>-5674.3844235096039</v>
      </c>
      <c r="S147" s="534">
        <f t="shared" ref="S147" si="592">$AN124-S124</f>
        <v>-84.097087378640822</v>
      </c>
      <c r="T147" s="562">
        <f t="shared" si="232"/>
        <v>0.5413563088832376</v>
      </c>
      <c r="U147" s="531">
        <f t="shared" ref="U147" si="593">$AM124-U124</f>
        <v>1686.5930733052082</v>
      </c>
      <c r="V147" s="534">
        <f t="shared" ref="V147" si="594">$AN124-V124</f>
        <v>-4.3251231527093523</v>
      </c>
      <c r="W147" s="562">
        <f t="shared" si="235"/>
        <v>2.3848444380359126</v>
      </c>
      <c r="X147" s="531">
        <f t="shared" ref="X147" si="595">$AM124-X124</f>
        <v>-3397.5200833143172</v>
      </c>
      <c r="Y147" s="534">
        <f t="shared" ref="Y147" si="596">$AN124-Y124</f>
        <v>-53.498261877172581</v>
      </c>
      <c r="Z147" s="562">
        <f t="shared" si="238"/>
        <v>0.59482831796279356</v>
      </c>
      <c r="AA147" s="531">
        <f t="shared" ref="AA147" si="597">$AM124-AA124</f>
        <v>905.20980521955062</v>
      </c>
      <c r="AB147" s="534">
        <f t="shared" ref="AB147" si="598">$AN124-AB124</f>
        <v>9.4516129032258505</v>
      </c>
      <c r="AC147" s="562">
        <f t="shared" si="241"/>
        <v>0.25586953557862557</v>
      </c>
      <c r="AD147" s="531">
        <f t="shared" ref="AD147" si="599">$AM124-AD124</f>
        <v>-3732.4610667658853</v>
      </c>
      <c r="AE147" s="534">
        <f t="shared" ref="AE147" si="600">$AN124-AE124</f>
        <v>-57.641878669275911</v>
      </c>
      <c r="AF147" s="562">
        <f t="shared" si="244"/>
        <v>0.55759176060934124</v>
      </c>
      <c r="AG147" s="531">
        <f t="shared" ref="AG147" si="601">$AM124-AG124</f>
        <v>1608.9761430751823</v>
      </c>
      <c r="AH147" s="534">
        <f t="shared" ref="AH147" si="602">$AN124-AH124</f>
        <v>38.13215859030845</v>
      </c>
      <c r="AI147" s="562">
        <f t="shared" si="247"/>
        <v>-1.4912429921220109</v>
      </c>
      <c r="AJ147" s="531">
        <f t="shared" ref="AJ147" si="603">$AM124-AJ124</f>
        <v>1608.9879491643296</v>
      </c>
      <c r="AK147" s="534">
        <f t="shared" ref="AK147" si="604">$AN124-AK124</f>
        <v>25.671065989847648</v>
      </c>
      <c r="AL147" s="562">
        <f t="shared" si="250"/>
        <v>-0.33960850476910309</v>
      </c>
      <c r="AM147" s="531"/>
      <c r="AN147" s="534"/>
      <c r="AO147" s="534"/>
      <c r="AP147" s="531">
        <f t="shared" si="213"/>
        <v>180.73216723892983</v>
      </c>
      <c r="AQ147" s="534">
        <f t="shared" si="214"/>
        <v>-1.6229169355051143</v>
      </c>
      <c r="AR147" s="562">
        <f t="shared" si="214"/>
        <v>0.33616478643225184</v>
      </c>
      <c r="AS147" s="531">
        <f t="shared" si="251"/>
        <v>-5674.3844235096039</v>
      </c>
      <c r="AT147" s="534">
        <f t="shared" si="252"/>
        <v>-84.097087378640822</v>
      </c>
      <c r="AU147" s="562">
        <f t="shared" si="252"/>
        <v>-2.0421317476614718</v>
      </c>
      <c r="AV147" s="531">
        <f t="shared" si="253"/>
        <v>5020.0987396887722</v>
      </c>
      <c r="AW147" s="534">
        <f t="shared" si="254"/>
        <v>49.759999999999991</v>
      </c>
      <c r="AX147" s="562">
        <f t="shared" si="254"/>
        <v>3.0222621485781787</v>
      </c>
    </row>
    <row r="148" spans="1:50" outlineLevel="1" x14ac:dyDescent="0.25">
      <c r="A148" s="445">
        <v>17</v>
      </c>
      <c r="B148" s="530">
        <f t="shared" ref="B148" si="605">$AM125-B125</f>
        <v>2001.602266901049</v>
      </c>
      <c r="C148" s="533">
        <f t="shared" si="188"/>
        <v>47.169999999999959</v>
      </c>
      <c r="D148" s="561">
        <f t="shared" si="216"/>
        <v>-1.8057752142909607</v>
      </c>
      <c r="E148" s="444">
        <f t="shared" ref="E148" si="606">$AM125-E125</f>
        <v>63787</v>
      </c>
      <c r="F148" s="444">
        <f t="shared" ref="F148" si="607">$AN125-F125</f>
        <v>865</v>
      </c>
      <c r="G148" s="444">
        <f t="shared" ref="G148" si="608">$AM125-G125</f>
        <v>63787</v>
      </c>
      <c r="H148" s="444">
        <f t="shared" ref="H148" si="609">$AN125-H125</f>
        <v>865</v>
      </c>
      <c r="I148" s="530">
        <f t="shared" ref="I148" si="610">$AM125-I125</f>
        <v>-616.95930910653988</v>
      </c>
      <c r="J148" s="533">
        <f t="shared" ref="J148" si="611">$AN125-J125</f>
        <v>3.953125</v>
      </c>
      <c r="K148" s="561">
        <f t="shared" si="223"/>
        <v>-1.0550777851336903</v>
      </c>
      <c r="L148" s="530">
        <f t="shared" ref="L148" si="612">$AM125-L125</f>
        <v>2672.3996160276292</v>
      </c>
      <c r="M148" s="533">
        <f t="shared" ref="M148" si="613">$AN125-M125</f>
        <v>-13.101027397260168</v>
      </c>
      <c r="N148" s="561">
        <f t="shared" si="226"/>
        <v>4.1435985605317995</v>
      </c>
      <c r="O148" s="530">
        <f t="shared" ref="O148" si="614">$AM125-O125</f>
        <v>1460.1646854784703</v>
      </c>
      <c r="P148" s="533">
        <f t="shared" ref="P148" si="615">$AN125-P125</f>
        <v>-3.7250000000000227</v>
      </c>
      <c r="Q148" s="561">
        <f t="shared" si="229"/>
        <v>1.9970121356693937</v>
      </c>
      <c r="R148" s="530">
        <f t="shared" ref="R148" si="616">$AM125-R125</f>
        <v>-4980.613679678776</v>
      </c>
      <c r="S148" s="533">
        <f t="shared" ref="S148" si="617">$AN125-S125</f>
        <v>-78.269902912621546</v>
      </c>
      <c r="T148" s="561">
        <f t="shared" si="232"/>
        <v>0.83876404938293092</v>
      </c>
      <c r="U148" s="530">
        <f t="shared" ref="U148" si="618">$AM125-U125</f>
        <v>1513.2771101089456</v>
      </c>
      <c r="V148" s="533">
        <f t="shared" ref="V148" si="619">$AN125-V125</f>
        <v>5.4081632653060296</v>
      </c>
      <c r="W148" s="561">
        <f t="shared" si="235"/>
        <v>1.2965075098388752</v>
      </c>
      <c r="X148" s="530">
        <f t="shared" ref="X148" si="620">$AM125-X125</f>
        <v>-3564.4515723392542</v>
      </c>
      <c r="Y148" s="533">
        <f t="shared" ref="Y148" si="621">$AN125-Y125</f>
        <v>-58.662804171494827</v>
      </c>
      <c r="Z148" s="561">
        <f t="shared" si="238"/>
        <v>0.82440524674386495</v>
      </c>
      <c r="AA148" s="530">
        <f t="shared" ref="AA148" si="622">$AM125-AA125</f>
        <v>-719.21712703857338</v>
      </c>
      <c r="AB148" s="533">
        <f t="shared" ref="AB148" si="623">$AN125-AB125</f>
        <v>-23.822580645161338</v>
      </c>
      <c r="AC148" s="561">
        <f t="shared" si="241"/>
        <v>1.167288409840225</v>
      </c>
      <c r="AD148" s="530">
        <f t="shared" ref="AD148" si="624">$AM125-AD125</f>
        <v>-3137.8798890617618</v>
      </c>
      <c r="AE148" s="533">
        <f t="shared" ref="AE148" si="625">$AN125-AE125</f>
        <v>-56.117416829745594</v>
      </c>
      <c r="AF148" s="561">
        <f t="shared" si="244"/>
        <v>1.0860088772360257</v>
      </c>
      <c r="AG148" s="530">
        <f t="shared" ref="AG148" si="626">$AM125-AG125</f>
        <v>2912.291824275002</v>
      </c>
      <c r="AH148" s="533">
        <f t="shared" ref="AH148" si="627">$AN125-AH125</f>
        <v>53.215859030837123</v>
      </c>
      <c r="AI148" s="561">
        <f t="shared" si="247"/>
        <v>-1.2465906389560359</v>
      </c>
      <c r="AJ148" s="530">
        <f t="shared" ref="AJ148" si="628">$AM125-AJ125</f>
        <v>1468.7781656779844</v>
      </c>
      <c r="AK148" s="533">
        <f t="shared" ref="AK148" si="629">$AN125-AK125</f>
        <v>20.461928934010189</v>
      </c>
      <c r="AL148" s="561">
        <f t="shared" si="250"/>
        <v>-4.7516412306563893E-2</v>
      </c>
      <c r="AM148" s="530"/>
      <c r="AN148" s="533"/>
      <c r="AO148" s="533"/>
      <c r="AP148" s="530">
        <f t="shared" si="213"/>
        <v>-90.055264432347698</v>
      </c>
      <c r="AQ148" s="533">
        <f t="shared" si="214"/>
        <v>-9.4081505205572906</v>
      </c>
      <c r="AR148" s="561">
        <f t="shared" si="214"/>
        <v>0.65442043077780587</v>
      </c>
      <c r="AS148" s="530">
        <f t="shared" si="251"/>
        <v>-4980.613679678776</v>
      </c>
      <c r="AT148" s="533">
        <f t="shared" si="252"/>
        <v>-78.269902912621546</v>
      </c>
      <c r="AU148" s="561">
        <f t="shared" si="252"/>
        <v>-1.8057752142909607</v>
      </c>
      <c r="AV148" s="530">
        <f t="shared" si="253"/>
        <v>2912.291824275002</v>
      </c>
      <c r="AW148" s="533">
        <f t="shared" si="254"/>
        <v>53.215859030837123</v>
      </c>
      <c r="AX148" s="561">
        <f t="shared" si="254"/>
        <v>4.1435985605317995</v>
      </c>
    </row>
    <row r="149" spans="1:50" outlineLevel="1" x14ac:dyDescent="0.25">
      <c r="A149" s="445">
        <v>18</v>
      </c>
      <c r="B149" s="531">
        <f t="shared" ref="B149" si="630">$AM126-B126</f>
        <v>877.01481359407626</v>
      </c>
      <c r="C149" s="534">
        <f t="shared" si="188"/>
        <v>14.5</v>
      </c>
      <c r="D149" s="562">
        <f t="shared" si="216"/>
        <v>-0.22951373561008381</v>
      </c>
      <c r="E149" s="445">
        <f t="shared" ref="E149" si="631">$AM126-E126</f>
        <v>66341</v>
      </c>
      <c r="F149" s="445">
        <f t="shared" ref="F149" si="632">$AN126-F126</f>
        <v>892</v>
      </c>
      <c r="G149" s="445">
        <f t="shared" ref="G149" si="633">$AM126-G126</f>
        <v>66341</v>
      </c>
      <c r="H149" s="445">
        <f t="shared" ref="H149" si="634">$AN126-H126</f>
        <v>892</v>
      </c>
      <c r="I149" s="531">
        <f t="shared" ref="I149" si="635">$AM126-I126</f>
        <v>-1515.7645253368537</v>
      </c>
      <c r="J149" s="534">
        <f t="shared" ref="J149" si="636">$AN126-J126</f>
        <v>-23.890625</v>
      </c>
      <c r="K149" s="562">
        <f t="shared" si="223"/>
        <v>0.28503461777471273</v>
      </c>
      <c r="L149" s="531">
        <f t="shared" ref="L149" si="637">$AM126-L126</f>
        <v>1608.0729363781647</v>
      </c>
      <c r="M149" s="534">
        <f t="shared" ref="M149" si="638">$AN126-M126</f>
        <v>-34.784246575342308</v>
      </c>
      <c r="N149" s="562">
        <f t="shared" si="226"/>
        <v>4.5265041968859379</v>
      </c>
      <c r="O149" s="531">
        <f t="shared" ref="O149" si="639">$AM126-O126</f>
        <v>1598.0274454698592</v>
      </c>
      <c r="P149" s="534">
        <f t="shared" ref="P149" si="640">$AN126-P126</f>
        <v>-10.229545454545359</v>
      </c>
      <c r="Q149" s="562">
        <f t="shared" si="229"/>
        <v>2.6144485052446953</v>
      </c>
      <c r="R149" s="531">
        <f t="shared" ref="R149" si="641">$AM126-R126</f>
        <v>-4111.6302349058678</v>
      </c>
      <c r="S149" s="534">
        <f t="shared" ref="S149" si="642">$AN126-S126</f>
        <v>-75.12427184466037</v>
      </c>
      <c r="T149" s="562">
        <f t="shared" si="232"/>
        <v>1.5257720196316313</v>
      </c>
      <c r="U149" s="531">
        <f t="shared" ref="U149" si="643">$AM126-U126</f>
        <v>1302.5307644875502</v>
      </c>
      <c r="V149" s="534">
        <f t="shared" ref="V149" si="644">$AN126-V126</f>
        <v>-4.6432090077410066</v>
      </c>
      <c r="W149" s="562">
        <f t="shared" si="235"/>
        <v>1.8378119744808856</v>
      </c>
      <c r="X149" s="531">
        <f t="shared" ref="X149" si="645">$AM126-X126</f>
        <v>-3418.3848189272976</v>
      </c>
      <c r="Y149" s="534">
        <f t="shared" ref="Y149" si="646">$AN126-Y126</f>
        <v>-60.946697566628018</v>
      </c>
      <c r="Z149" s="562">
        <f t="shared" si="238"/>
        <v>1.1694497988136874</v>
      </c>
      <c r="AA149" s="531">
        <f t="shared" ref="AA149" si="647">$AM126-AA126</f>
        <v>-586.69782953200047</v>
      </c>
      <c r="AB149" s="534">
        <f t="shared" ref="AB149" si="648">$AN126-AB126</f>
        <v>-34.564516129032313</v>
      </c>
      <c r="AC149" s="562">
        <f t="shared" si="241"/>
        <v>2.1412215758780206</v>
      </c>
      <c r="AD149" s="531">
        <f t="shared" ref="AD149" si="649">$AM126-AD126</f>
        <v>-2939.5137590475642</v>
      </c>
      <c r="AE149" s="534">
        <f t="shared" ref="AE149" si="650">$AN126-AE126</f>
        <v>-60.027397260273915</v>
      </c>
      <c r="AF149" s="562">
        <f t="shared" si="244"/>
        <v>1.6017637450782303</v>
      </c>
      <c r="AG149" s="531">
        <f t="shared" ref="AG149" si="651">$AM126-AG126</f>
        <v>2115.5770455902821</v>
      </c>
      <c r="AH149" s="534">
        <f t="shared" ref="AH149" si="652">$AN126-AH126</f>
        <v>29.189427312775365</v>
      </c>
      <c r="AI149" s="562">
        <f t="shared" si="247"/>
        <v>-6.4136355289676317E-2</v>
      </c>
      <c r="AJ149" s="531">
        <f t="shared" ref="AJ149" si="653">$AM126-AJ126</f>
        <v>1889.3370780223922</v>
      </c>
      <c r="AK149" s="534">
        <f t="shared" ref="AK149" si="654">$AN126-AK126</f>
        <v>14.321827411167533</v>
      </c>
      <c r="AL149" s="562">
        <f t="shared" si="250"/>
        <v>0.93904038387587718</v>
      </c>
      <c r="AM149" s="531"/>
      <c r="AN149" s="534"/>
      <c r="AO149" s="534"/>
      <c r="AP149" s="531">
        <f t="shared" si="213"/>
        <v>-289.22100765520537</v>
      </c>
      <c r="AQ149" s="534">
        <f t="shared" si="214"/>
        <v>-22.38175037402549</v>
      </c>
      <c r="AR149" s="562">
        <f t="shared" si="214"/>
        <v>1.4861269751603563</v>
      </c>
      <c r="AS149" s="531">
        <f t="shared" si="251"/>
        <v>-4111.6302349058678</v>
      </c>
      <c r="AT149" s="534">
        <f t="shared" si="252"/>
        <v>-75.12427184466037</v>
      </c>
      <c r="AU149" s="562">
        <f t="shared" si="252"/>
        <v>-0.22951373561008381</v>
      </c>
      <c r="AV149" s="531">
        <f t="shared" si="253"/>
        <v>2115.5770455902821</v>
      </c>
      <c r="AW149" s="534">
        <f t="shared" si="254"/>
        <v>29.189427312775365</v>
      </c>
      <c r="AX149" s="562">
        <f t="shared" si="254"/>
        <v>4.5265041968859379</v>
      </c>
    </row>
    <row r="150" spans="1:50" outlineLevel="1" x14ac:dyDescent="0.25">
      <c r="A150" s="445">
        <v>19</v>
      </c>
      <c r="B150" s="530">
        <f t="shared" ref="B150" si="655">$AM127-B127</f>
        <v>2182.3571376254258</v>
      </c>
      <c r="C150" s="533">
        <f t="shared" si="188"/>
        <v>35.830000000000041</v>
      </c>
      <c r="D150" s="561">
        <f t="shared" si="216"/>
        <v>-0.49005795168007182</v>
      </c>
      <c r="E150" s="444">
        <f t="shared" ref="E150" si="656">$AM127-E127</f>
        <v>71736</v>
      </c>
      <c r="F150" s="444">
        <f t="shared" ref="F150" si="657">$AN127-F127</f>
        <v>973</v>
      </c>
      <c r="G150" s="444">
        <f t="shared" ref="G150" si="658">$AM127-G127</f>
        <v>71736</v>
      </c>
      <c r="H150" s="444">
        <f t="shared" ref="H150" si="659">$AN127-H127</f>
        <v>973</v>
      </c>
      <c r="I150" s="530">
        <f t="shared" ref="I150" si="660">$AM127-I127</f>
        <v>-895.7830790951848</v>
      </c>
      <c r="J150" s="533">
        <f t="shared" ref="J150" si="661">$AN127-J127</f>
        <v>-8.703125</v>
      </c>
      <c r="K150" s="561">
        <f t="shared" si="223"/>
        <v>-0.25886756821509493</v>
      </c>
      <c r="L150" s="530">
        <f t="shared" ref="L150" si="662">$AM127-L127</f>
        <v>530.76557476437301</v>
      </c>
      <c r="M150" s="533">
        <f t="shared" ref="M150" si="663">$AN127-M127</f>
        <v>-16.892123287671097</v>
      </c>
      <c r="N150" s="561">
        <f t="shared" si="226"/>
        <v>1.7943012836731072</v>
      </c>
      <c r="O150" s="530">
        <f t="shared" ref="O150" si="664">$AM127-O127</f>
        <v>2449.79708328587</v>
      </c>
      <c r="P150" s="533">
        <f t="shared" ref="P150" si="665">$AN127-P127</f>
        <v>13.334090909090946</v>
      </c>
      <c r="Q150" s="561">
        <f t="shared" si="229"/>
        <v>1.5283648540172265</v>
      </c>
      <c r="R150" s="530">
        <f t="shared" ref="R150" si="666">$AM127-R127</f>
        <v>-1861.5551229758712</v>
      </c>
      <c r="S150" s="533">
        <f t="shared" ref="S150" si="667">$AN127-S127</f>
        <v>-37.743689320388512</v>
      </c>
      <c r="T150" s="561">
        <f t="shared" si="232"/>
        <v>0.91136801327854755</v>
      </c>
      <c r="U150" s="530">
        <f t="shared" ref="U150" si="668">$AM127-U127</f>
        <v>2341.5151827491645</v>
      </c>
      <c r="V150" s="533">
        <f t="shared" ref="V150" si="669">$AN127-V127</f>
        <v>17.074595355383508</v>
      </c>
      <c r="W150" s="561">
        <f t="shared" si="235"/>
        <v>1.1325810530608607</v>
      </c>
      <c r="X150" s="530">
        <f t="shared" ref="X150" si="670">$AM127-X127</f>
        <v>-1807.7050595483743</v>
      </c>
      <c r="Y150" s="533">
        <f t="shared" ref="Y150" si="671">$AN127-Y127</f>
        <v>-36.0741599073001</v>
      </c>
      <c r="Z150" s="561">
        <f t="shared" si="238"/>
        <v>0.84425982439179847</v>
      </c>
      <c r="AA150" s="530">
        <f t="shared" ref="AA150" si="672">$AM127-AA127</f>
        <v>1344.7624922268442</v>
      </c>
      <c r="AB150" s="533">
        <f t="shared" ref="AB150" si="673">$AN127-AB127</f>
        <v>-6.4032258064517009</v>
      </c>
      <c r="AC150" s="561">
        <f t="shared" si="241"/>
        <v>1.8550589092100864</v>
      </c>
      <c r="AD150" s="530">
        <f t="shared" ref="AD150" si="674">$AM127-AD127</f>
        <v>-804.3067679090891</v>
      </c>
      <c r="AE150" s="533">
        <f t="shared" ref="AE150" si="675">$AN127-AE127</f>
        <v>-25.735812133072386</v>
      </c>
      <c r="AF150" s="561">
        <f t="shared" si="244"/>
        <v>1.0944912828906723</v>
      </c>
      <c r="AG150" s="530">
        <f t="shared" ref="AG150" si="676">$AM127-AG127</f>
        <v>3836.9936956666061</v>
      </c>
      <c r="AH150" s="533">
        <f t="shared" ref="AH150" si="677">$AN127-AH127</f>
        <v>54.524229074889831</v>
      </c>
      <c r="AI150" s="561">
        <f t="shared" si="247"/>
        <v>-0.19912702905556046</v>
      </c>
      <c r="AJ150" s="530">
        <f t="shared" ref="AJ150" si="678">$AM127-AJ127</f>
        <v>1088.2033660196321</v>
      </c>
      <c r="AK150" s="533">
        <f t="shared" ref="AK150" si="679">$AN127-AK127</f>
        <v>10.868020304568518</v>
      </c>
      <c r="AL150" s="561">
        <f t="shared" si="250"/>
        <v>0.29823452811220363</v>
      </c>
      <c r="AM150" s="530"/>
      <c r="AN150" s="533"/>
      <c r="AO150" s="533"/>
      <c r="AP150" s="530">
        <f t="shared" si="213"/>
        <v>764.09495480085423</v>
      </c>
      <c r="AQ150" s="533">
        <f t="shared" si="214"/>
        <v>7.1636535499134298E-3</v>
      </c>
      <c r="AR150" s="561">
        <f t="shared" si="214"/>
        <v>0.77369156360761593</v>
      </c>
      <c r="AS150" s="530">
        <f t="shared" si="251"/>
        <v>-1861.5551229758712</v>
      </c>
      <c r="AT150" s="533">
        <f t="shared" si="252"/>
        <v>-37.743689320388512</v>
      </c>
      <c r="AU150" s="561">
        <f t="shared" si="252"/>
        <v>-0.49005795168007182</v>
      </c>
      <c r="AV150" s="530">
        <f t="shared" si="253"/>
        <v>3836.9936956666061</v>
      </c>
      <c r="AW150" s="533">
        <f t="shared" si="254"/>
        <v>54.524229074889831</v>
      </c>
      <c r="AX150" s="561">
        <f t="shared" si="254"/>
        <v>1.8550589092100864</v>
      </c>
    </row>
    <row r="151" spans="1:50" outlineLevel="1" x14ac:dyDescent="0.25">
      <c r="A151" s="445">
        <v>20</v>
      </c>
      <c r="B151" s="532">
        <f t="shared" ref="B151" si="680">$AM128-B128</f>
        <v>0</v>
      </c>
      <c r="C151" s="535">
        <f t="shared" si="188"/>
        <v>0</v>
      </c>
      <c r="D151" s="563">
        <f t="shared" si="216"/>
        <v>0</v>
      </c>
      <c r="E151" s="446">
        <f t="shared" ref="E151" si="681">$AM128-E128</f>
        <v>76619</v>
      </c>
      <c r="F151" s="446">
        <f t="shared" ref="F151" si="682">$AN128-F128</f>
        <v>1053</v>
      </c>
      <c r="G151" s="446">
        <f t="shared" ref="G151" si="683">$AM128-G128</f>
        <v>76619</v>
      </c>
      <c r="H151" s="446">
        <f t="shared" ref="H151" si="684">$AN128-H128</f>
        <v>1053</v>
      </c>
      <c r="I151" s="532">
        <f t="shared" ref="I151" si="685">$AM128-I128</f>
        <v>0</v>
      </c>
      <c r="J151" s="535">
        <f t="shared" ref="J151" si="686">$AN128-J128</f>
        <v>0</v>
      </c>
      <c r="K151" s="563">
        <f t="shared" si="223"/>
        <v>0</v>
      </c>
      <c r="L151" s="532">
        <f t="shared" ref="L151" si="687">$AM128-L128</f>
        <v>0</v>
      </c>
      <c r="M151" s="535">
        <f t="shared" ref="M151" si="688">$AN128-M128</f>
        <v>0</v>
      </c>
      <c r="N151" s="563">
        <f t="shared" si="226"/>
        <v>0</v>
      </c>
      <c r="O151" s="532">
        <f t="shared" ref="O151" si="689">$AM128-O128</f>
        <v>0</v>
      </c>
      <c r="P151" s="535">
        <f t="shared" ref="P151" si="690">$AN128-P128</f>
        <v>0</v>
      </c>
      <c r="Q151" s="563">
        <f t="shared" si="229"/>
        <v>0</v>
      </c>
      <c r="R151" s="532">
        <f t="shared" ref="R151" si="691">$AM128-R128</f>
        <v>0</v>
      </c>
      <c r="S151" s="535">
        <f t="shared" ref="S151" si="692">$AN128-S128</f>
        <v>0</v>
      </c>
      <c r="T151" s="563">
        <f t="shared" si="232"/>
        <v>0</v>
      </c>
      <c r="U151" s="532">
        <f t="shared" ref="U151" si="693">$AM128-U128</f>
        <v>0</v>
      </c>
      <c r="V151" s="535">
        <f t="shared" ref="V151" si="694">$AN128-V128</f>
        <v>0</v>
      </c>
      <c r="W151" s="563">
        <f t="shared" si="235"/>
        <v>0</v>
      </c>
      <c r="X151" s="532">
        <f t="shared" ref="X151" si="695">$AM128-X128</f>
        <v>0</v>
      </c>
      <c r="Y151" s="535">
        <f t="shared" ref="Y151" si="696">$AN128-Y128</f>
        <v>0</v>
      </c>
      <c r="Z151" s="563">
        <f t="shared" si="238"/>
        <v>0</v>
      </c>
      <c r="AA151" s="532">
        <f t="shared" ref="AA151" si="697">$AM128-AA128</f>
        <v>0</v>
      </c>
      <c r="AB151" s="535">
        <f t="shared" ref="AB151" si="698">$AN128-AB128</f>
        <v>0</v>
      </c>
      <c r="AC151" s="563">
        <f t="shared" si="241"/>
        <v>0</v>
      </c>
      <c r="AD151" s="532">
        <f t="shared" ref="AD151" si="699">$AM128-AD128</f>
        <v>0</v>
      </c>
      <c r="AE151" s="535">
        <f t="shared" ref="AE151" si="700">$AN128-AE128</f>
        <v>0</v>
      </c>
      <c r="AF151" s="563">
        <f t="shared" si="244"/>
        <v>0</v>
      </c>
      <c r="AG151" s="532">
        <f t="shared" ref="AG151" si="701">$AM128-AG128</f>
        <v>0</v>
      </c>
      <c r="AH151" s="535">
        <f t="shared" ref="AH151" si="702">$AN128-AH128</f>
        <v>0</v>
      </c>
      <c r="AI151" s="563">
        <f t="shared" si="247"/>
        <v>0</v>
      </c>
      <c r="AJ151" s="532">
        <f t="shared" ref="AJ151" si="703">$AM128-AJ128</f>
        <v>0</v>
      </c>
      <c r="AK151" s="535">
        <f t="shared" ref="AK151" si="704">$AN128-AK128</f>
        <v>0</v>
      </c>
      <c r="AL151" s="563">
        <f t="shared" si="250"/>
        <v>0</v>
      </c>
      <c r="AM151" s="532"/>
      <c r="AN151" s="535"/>
      <c r="AO151" s="535"/>
      <c r="AP151" s="532">
        <f t="shared" si="213"/>
        <v>0</v>
      </c>
      <c r="AQ151" s="535">
        <f t="shared" si="214"/>
        <v>0</v>
      </c>
      <c r="AR151" s="563">
        <f t="shared" si="214"/>
        <v>0</v>
      </c>
      <c r="AS151" s="532">
        <f t="shared" si="251"/>
        <v>0</v>
      </c>
      <c r="AT151" s="535">
        <f t="shared" si="252"/>
        <v>0</v>
      </c>
      <c r="AU151" s="563">
        <f t="shared" si="252"/>
        <v>0</v>
      </c>
      <c r="AV151" s="532">
        <f t="shared" si="253"/>
        <v>0</v>
      </c>
      <c r="AW151" s="535">
        <f t="shared" si="254"/>
        <v>0</v>
      </c>
      <c r="AX151" s="563">
        <f t="shared" si="254"/>
        <v>0</v>
      </c>
    </row>
    <row r="152" spans="1:50" outlineLevel="1" x14ac:dyDescent="0.25">
      <c r="A152" s="537">
        <v>21</v>
      </c>
      <c r="B152" s="530">
        <f t="shared" ref="B152" si="705">$AM129-B129</f>
        <v>-3421.1673441734456</v>
      </c>
      <c r="C152" s="533">
        <f t="shared" si="188"/>
        <v>-60.970000000000027</v>
      </c>
      <c r="D152" s="561">
        <f t="shared" si="216"/>
        <v>0.82746393698710108</v>
      </c>
      <c r="E152" s="444">
        <f t="shared" ref="E152" si="706">$AM129-E129</f>
        <v>84047</v>
      </c>
      <c r="F152" s="444">
        <f t="shared" ref="F152" si="707">$AN129-F129</f>
        <v>1157</v>
      </c>
      <c r="G152" s="444">
        <f t="shared" ref="G152" si="708">$AM129-G129</f>
        <v>84047</v>
      </c>
      <c r="H152" s="444">
        <f t="shared" ref="H152" si="709">$AN129-H129</f>
        <v>1157</v>
      </c>
      <c r="I152" s="530">
        <f t="shared" ref="I152" si="710">$AM129-I129</f>
        <v>-16310.109350541738</v>
      </c>
      <c r="J152" s="533">
        <f t="shared" ref="J152" si="711">$AN129-J129</f>
        <v>-225.0625</v>
      </c>
      <c r="K152" s="561">
        <f t="shared" si="223"/>
        <v>2.8161422574939365E-2</v>
      </c>
      <c r="L152" s="530">
        <f t="shared" ref="L152" si="712">$AM129-L129</f>
        <v>-3011.0237915893522</v>
      </c>
      <c r="M152" s="533">
        <f t="shared" ref="M152" si="713">$AN129-M129</f>
        <v>-29.428082191780732</v>
      </c>
      <c r="N152" s="561">
        <f t="shared" si="226"/>
        <v>-0.73607816482949318</v>
      </c>
      <c r="O152" s="530">
        <f t="shared" ref="O152" si="714">$AM129-O129</f>
        <v>-3239.4738521134714</v>
      </c>
      <c r="P152" s="533">
        <f t="shared" ref="P152" si="715">$AN129-P129</f>
        <v>-32.411363636363603</v>
      </c>
      <c r="Q152" s="561">
        <f t="shared" si="229"/>
        <v>-0.74410067968366889</v>
      </c>
      <c r="R152" s="530">
        <f t="shared" ref="R152" si="716">$AM129-R129</f>
        <v>1122.1949415338313</v>
      </c>
      <c r="S152" s="533">
        <f t="shared" ref="S152" si="717">$AN129-S129</f>
        <v>22.895145631067862</v>
      </c>
      <c r="T152" s="561">
        <f t="shared" si="232"/>
        <v>-0.47699143665487043</v>
      </c>
      <c r="U152" s="530">
        <f t="shared" ref="U152" si="718">$AM129-U129</f>
        <v>-6391.3314784364338</v>
      </c>
      <c r="V152" s="533">
        <f t="shared" ref="V152" si="719">$AN129-V129</f>
        <v>-71.623504574243498</v>
      </c>
      <c r="W152" s="561">
        <f t="shared" si="235"/>
        <v>-0.96729722523045325</v>
      </c>
      <c r="X152" s="530">
        <f t="shared" ref="X152" si="720">$AM129-X129</f>
        <v>-2044.1464943413303</v>
      </c>
      <c r="Y152" s="533">
        <f t="shared" ref="Y152" si="721">$AN129-Y129</f>
        <v>-32.658169177288528</v>
      </c>
      <c r="Z152" s="561">
        <f t="shared" si="238"/>
        <v>0.27588937244098588</v>
      </c>
      <c r="AA152" s="530">
        <f t="shared" ref="AA152" si="722">$AM129-AA129</f>
        <v>-4415.0463681771653</v>
      </c>
      <c r="AB152" s="533">
        <f t="shared" ref="AB152" si="723">$AN129-AB129</f>
        <v>-60.177419354838776</v>
      </c>
      <c r="AC152" s="561">
        <f t="shared" si="241"/>
        <v>-3.5843219172448926E-2</v>
      </c>
      <c r="AD152" s="530">
        <f t="shared" ref="AD152" si="724">$AM129-AD129</f>
        <v>-28.915798552392516</v>
      </c>
      <c r="AE152" s="533">
        <f t="shared" ref="AE152" si="725">$AN129-AE129</f>
        <v>3.0273972602740287</v>
      </c>
      <c r="AF152" s="561">
        <f t="shared" si="244"/>
        <v>-0.21563122795156175</v>
      </c>
      <c r="AG152" s="530">
        <f t="shared" ref="AG152" si="726">$AM129-AG129</f>
        <v>-8105.2832304731564</v>
      </c>
      <c r="AH152" s="533">
        <f t="shared" ref="AH152" si="727">$AN129-AH129</f>
        <v>-90.828193832599027</v>
      </c>
      <c r="AI152" s="561">
        <f t="shared" si="247"/>
        <v>-1.2079590843337229</v>
      </c>
      <c r="AJ152" s="530">
        <f t="shared" ref="AJ152" si="728">$AM129-AJ129</f>
        <v>-5073.6929977270484</v>
      </c>
      <c r="AK152" s="533">
        <f t="shared" ref="AK152" si="729">$AN129-AK129</f>
        <v>-57.424365482233497</v>
      </c>
      <c r="AL152" s="561">
        <f t="shared" si="250"/>
        <v>-0.74295447439510554</v>
      </c>
      <c r="AM152" s="530"/>
      <c r="AN152" s="533"/>
      <c r="AO152" s="533"/>
      <c r="AP152" s="530">
        <f t="shared" si="213"/>
        <v>-4628.9087058719733</v>
      </c>
      <c r="AQ152" s="533">
        <f t="shared" si="214"/>
        <v>-57.696459578000528</v>
      </c>
      <c r="AR152" s="561">
        <f t="shared" si="214"/>
        <v>-0.36321279820439079</v>
      </c>
      <c r="AS152" s="530">
        <f t="shared" si="251"/>
        <v>-16310.109350541738</v>
      </c>
      <c r="AT152" s="533">
        <f t="shared" si="252"/>
        <v>-225.0625</v>
      </c>
      <c r="AU152" s="561">
        <f t="shared" si="252"/>
        <v>-1.2079590843337229</v>
      </c>
      <c r="AV152" s="530">
        <f t="shared" si="253"/>
        <v>1122.1949415338313</v>
      </c>
      <c r="AW152" s="533">
        <f t="shared" si="254"/>
        <v>22.895145631067862</v>
      </c>
      <c r="AX152" s="561">
        <f t="shared" si="254"/>
        <v>0.82746393698710108</v>
      </c>
    </row>
    <row r="153" spans="1:50" outlineLevel="1" x14ac:dyDescent="0.25">
      <c r="A153" s="444"/>
      <c r="B153" s="530"/>
      <c r="C153" s="533"/>
      <c r="D153" s="561"/>
      <c r="E153" s="444"/>
      <c r="F153" s="444"/>
      <c r="G153" s="444"/>
      <c r="H153" s="444"/>
      <c r="I153" s="530"/>
      <c r="J153" s="533"/>
      <c r="K153" s="561"/>
      <c r="L153" s="530"/>
      <c r="M153" s="533"/>
      <c r="N153" s="561"/>
      <c r="O153" s="530"/>
      <c r="P153" s="533"/>
      <c r="Q153" s="561"/>
      <c r="R153" s="533"/>
      <c r="S153" s="533"/>
      <c r="T153" s="561"/>
      <c r="U153" s="533"/>
      <c r="V153" s="533"/>
      <c r="W153" s="561"/>
      <c r="X153" s="530"/>
      <c r="Y153" s="533"/>
      <c r="Z153" s="561"/>
      <c r="AA153" s="530"/>
      <c r="AB153" s="533"/>
      <c r="AC153" s="561"/>
      <c r="AD153" s="530"/>
      <c r="AE153" s="533"/>
      <c r="AF153" s="561"/>
      <c r="AG153" s="530"/>
      <c r="AH153" s="533"/>
      <c r="AI153" s="561"/>
      <c r="AJ153" s="530"/>
      <c r="AK153" s="533"/>
      <c r="AL153" s="561"/>
      <c r="AM153" s="530"/>
      <c r="AN153" s="533"/>
      <c r="AO153" s="533"/>
      <c r="AP153" s="530"/>
      <c r="AQ153" s="533"/>
      <c r="AR153" s="561"/>
      <c r="AS153" s="530"/>
      <c r="AT153" s="533"/>
      <c r="AU153" s="561"/>
      <c r="AV153" s="530"/>
      <c r="AW153" s="533"/>
      <c r="AX153" s="561"/>
    </row>
    <row r="154" spans="1:50" outlineLevel="1" x14ac:dyDescent="0.25">
      <c r="A154" s="444" t="s">
        <v>389</v>
      </c>
      <c r="B154" s="530">
        <f>AVERAGE(B132:B152)</f>
        <v>7454.2272603614047</v>
      </c>
      <c r="C154" s="533">
        <f t="shared" ref="C154:AK154" si="730">AVERAGE(C132:C152)</f>
        <v>122.95857142857143</v>
      </c>
      <c r="D154" s="561">
        <f t="shared" ref="D154" si="731">AVERAGE(D132:D152)</f>
        <v>-3.4457504098059211</v>
      </c>
      <c r="E154" s="444">
        <f t="shared" si="730"/>
        <v>54935.142857142855</v>
      </c>
      <c r="F154" s="444">
        <f t="shared" si="730"/>
        <v>747.57142857142856</v>
      </c>
      <c r="G154" s="444">
        <f t="shared" si="730"/>
        <v>54935.142857142855</v>
      </c>
      <c r="H154" s="444">
        <f t="shared" si="730"/>
        <v>747.57142857142856</v>
      </c>
      <c r="I154" s="530">
        <f t="shared" si="730"/>
        <v>3499.7310245819508</v>
      </c>
      <c r="J154" s="533">
        <f t="shared" si="730"/>
        <v>59.848214285714285</v>
      </c>
      <c r="K154" s="561">
        <f t="shared" si="730"/>
        <v>-1.7375331141707957</v>
      </c>
      <c r="L154" s="530">
        <f t="shared" si="730"/>
        <v>5277.4206868284946</v>
      </c>
      <c r="M154" s="533">
        <f t="shared" si="730"/>
        <v>48.920009784735882</v>
      </c>
      <c r="N154" s="561">
        <f t="shared" ref="N154" si="732">AVERAGE(N132:N152)</f>
        <v>2.5214671708951735</v>
      </c>
      <c r="O154" s="530">
        <f t="shared" si="730"/>
        <v>5919.6251705244567</v>
      </c>
      <c r="P154" s="533">
        <f t="shared" si="730"/>
        <v>56.511688311688324</v>
      </c>
      <c r="Q154" s="561">
        <f t="shared" ref="Q154" si="733">AVERAGE(Q132:Q152)</f>
        <v>3.0622182402626641</v>
      </c>
      <c r="R154" s="530">
        <f t="shared" si="730"/>
        <v>-2615.2301561792365</v>
      </c>
      <c r="S154" s="533">
        <f t="shared" si="730"/>
        <v>-42.868238557559017</v>
      </c>
      <c r="T154" s="561">
        <f t="shared" ref="T154" si="734">AVERAGE(T132:T152)</f>
        <v>0.74396259629394024</v>
      </c>
      <c r="U154" s="530">
        <f t="shared" si="730"/>
        <v>6080.3948948378447</v>
      </c>
      <c r="V154" s="533">
        <f t="shared" si="730"/>
        <v>71.577963204986432</v>
      </c>
      <c r="W154" s="561">
        <f t="shared" ref="W154" si="735">AVERAGE(W132:W152)</f>
        <v>1.0206849939745228</v>
      </c>
      <c r="X154" s="530">
        <f t="shared" si="730"/>
        <v>-86.626937001236257</v>
      </c>
      <c r="Y154" s="533">
        <f t="shared" si="730"/>
        <v>-4.1066048667439157</v>
      </c>
      <c r="Z154" s="561">
        <f t="shared" ref="Z154" si="736">AVERAGE(Z132:Z152)</f>
        <v>0.27179102374968794</v>
      </c>
      <c r="AA154" s="530">
        <f t="shared" si="730"/>
        <v>5259.9323956819908</v>
      </c>
      <c r="AB154" s="533">
        <f t="shared" si="730"/>
        <v>80.527649769585238</v>
      </c>
      <c r="AC154" s="561">
        <f t="shared" ref="AC154" si="737">AVERAGE(AC132:AC152)</f>
        <v>-1.693619788475704</v>
      </c>
      <c r="AD154" s="530">
        <f t="shared" si="730"/>
        <v>-149.8169779959625</v>
      </c>
      <c r="AE154" s="533">
        <f t="shared" si="730"/>
        <v>-4.8003913894324501</v>
      </c>
      <c r="AF154" s="561">
        <f t="shared" ref="AF154" si="738">AVERAGE(AF132:AF152)</f>
        <v>0.18174453768616586</v>
      </c>
      <c r="AG154" s="530">
        <f t="shared" si="730"/>
        <v>4084.2508413678042</v>
      </c>
      <c r="AH154" s="533">
        <f t="shared" si="730"/>
        <v>50.210195091252402</v>
      </c>
      <c r="AI154" s="561">
        <f t="shared" ref="AI154" si="739">AVERAGE(AI132:AI152)</f>
        <v>1.007867395263264</v>
      </c>
      <c r="AJ154" s="530">
        <f t="shared" si="730"/>
        <v>8694.4599046681142</v>
      </c>
      <c r="AK154" s="533">
        <f t="shared" si="730"/>
        <v>111.54619289340106</v>
      </c>
      <c r="AL154" s="561">
        <f t="shared" ref="AL154" si="740">AVERAGE(AL132:AL152)</f>
        <v>0.94278641724833501</v>
      </c>
      <c r="AM154" s="530"/>
      <c r="AN154" s="533"/>
      <c r="AO154" s="533"/>
      <c r="AP154" s="530">
        <f t="shared" ref="AP154" si="741">AVERAGE(B154,I154,L154,O154,R154,U154,X154,AA154,AD154,AG154,AJ154)</f>
        <v>3947.1243734250561</v>
      </c>
      <c r="AQ154" s="533">
        <f t="shared" ref="AQ154:AR154" si="742">AVERAGE(C154,J154,M154,P154,S154,V154,Y154,AB154,AE154,AH154,AK154)</f>
        <v>50.029568177836339</v>
      </c>
      <c r="AR154" s="561">
        <f t="shared" si="742"/>
        <v>0.26141991481103022</v>
      </c>
      <c r="AS154" s="530">
        <f t="shared" ref="AS154" si="743">MIN(B154,I154,L154,O154,R154,U154,X154,AA154,AD154,AG154,AJ154)</f>
        <v>-2615.2301561792365</v>
      </c>
      <c r="AT154" s="533">
        <f t="shared" ref="AT154:AU154" si="744">MIN(C154,J154,M154,P154,S154,V154,Y154,AB154,AE154,AH154,AK154)</f>
        <v>-42.868238557559017</v>
      </c>
      <c r="AU154" s="561">
        <f t="shared" si="744"/>
        <v>-3.4457504098059211</v>
      </c>
      <c r="AV154" s="530">
        <f t="shared" ref="AV154" si="745">MAX(B154,I154,L154,O154,R154,U154,X154,AA154,AD154,AG154,AJ154)</f>
        <v>8694.4599046681142</v>
      </c>
      <c r="AW154" s="533">
        <f t="shared" ref="AW154:AX154" si="746">MAX(C154,J154,M154,P154,S154,V154,Y154,AB154,AE154,AH154,AK154)</f>
        <v>122.95857142857143</v>
      </c>
      <c r="AX154" s="561">
        <f t="shared" si="746"/>
        <v>3.0622182402626641</v>
      </c>
    </row>
    <row r="155" spans="1:50" outlineLevel="1" x14ac:dyDescent="0.25">
      <c r="A155" s="537" t="s">
        <v>419</v>
      </c>
      <c r="B155" s="530">
        <f t="shared" ref="B155:AL155" si="747">_xlfn.STDEV.P(B132:B152)</f>
        <v>5825.0735152580573</v>
      </c>
      <c r="C155" s="533">
        <f t="shared" si="747"/>
        <v>88.449521427853554</v>
      </c>
      <c r="D155" s="561">
        <f t="shared" si="747"/>
        <v>2.2348094286496338</v>
      </c>
      <c r="E155" s="444">
        <f t="shared" si="747"/>
        <v>13349.476719852264</v>
      </c>
      <c r="F155" s="444">
        <f t="shared" si="747"/>
        <v>184.25359631524711</v>
      </c>
      <c r="G155" s="444">
        <f t="shared" si="747"/>
        <v>13349.476719852264</v>
      </c>
      <c r="H155" s="444">
        <f t="shared" si="747"/>
        <v>184.25359631524711</v>
      </c>
      <c r="I155" s="530">
        <f t="shared" si="747"/>
        <v>5539.6283427483177</v>
      </c>
      <c r="J155" s="533">
        <f t="shared" si="747"/>
        <v>81.346518356402626</v>
      </c>
      <c r="K155" s="561">
        <f t="shared" si="747"/>
        <v>1.326502798350947</v>
      </c>
      <c r="L155" s="530">
        <f t="shared" si="747"/>
        <v>3471.194063214788</v>
      </c>
      <c r="M155" s="533">
        <f t="shared" si="747"/>
        <v>46.489427778631608</v>
      </c>
      <c r="N155" s="561">
        <f t="shared" si="747"/>
        <v>1.1378112212752123</v>
      </c>
      <c r="O155" s="530">
        <f t="shared" si="747"/>
        <v>4617.7979863387773</v>
      </c>
      <c r="P155" s="533">
        <f t="shared" si="747"/>
        <v>57.16302501795991</v>
      </c>
      <c r="Q155" s="561">
        <f t="shared" si="747"/>
        <v>1.6096971624737595</v>
      </c>
      <c r="R155" s="530">
        <f t="shared" si="747"/>
        <v>1769.7019904313008</v>
      </c>
      <c r="S155" s="533">
        <f t="shared" si="747"/>
        <v>26.571407229079448</v>
      </c>
      <c r="T155" s="561">
        <f t="shared" si="747"/>
        <v>0.5298089589887236</v>
      </c>
      <c r="U155" s="530">
        <f t="shared" si="747"/>
        <v>5269.2942309393438</v>
      </c>
      <c r="V155" s="533">
        <f t="shared" si="747"/>
        <v>75.368027363182478</v>
      </c>
      <c r="W155" s="561">
        <f t="shared" si="747"/>
        <v>1.3141888025451705</v>
      </c>
      <c r="X155" s="530">
        <f t="shared" si="747"/>
        <v>2262.3234425163137</v>
      </c>
      <c r="Y155" s="533">
        <f t="shared" si="747"/>
        <v>33.830712138833562</v>
      </c>
      <c r="Z155" s="561">
        <f t="shared" si="747"/>
        <v>0.50441615211709145</v>
      </c>
      <c r="AA155" s="530">
        <f t="shared" si="747"/>
        <v>4530.672056475275</v>
      </c>
      <c r="AB155" s="533">
        <f t="shared" si="747"/>
        <v>74.26559100688975</v>
      </c>
      <c r="AC155" s="561">
        <f t="shared" si="747"/>
        <v>2.1260483116508575</v>
      </c>
      <c r="AD155" s="530">
        <f t="shared" si="747"/>
        <v>1896.8046269398849</v>
      </c>
      <c r="AE155" s="533">
        <f t="shared" si="747"/>
        <v>30.697655087445348</v>
      </c>
      <c r="AF155" s="561">
        <f t="shared" si="747"/>
        <v>0.57329855514652994</v>
      </c>
      <c r="AG155" s="530">
        <f t="shared" si="747"/>
        <v>3272.298405783486</v>
      </c>
      <c r="AH155" s="533">
        <f t="shared" si="747"/>
        <v>36.094697437544873</v>
      </c>
      <c r="AI155" s="561">
        <f t="shared" si="747"/>
        <v>1.9948414843486768</v>
      </c>
      <c r="AJ155" s="530">
        <f t="shared" si="747"/>
        <v>6638.0989558432511</v>
      </c>
      <c r="AK155" s="533">
        <f t="shared" si="747"/>
        <v>87.245633029992149</v>
      </c>
      <c r="AL155" s="561">
        <f t="shared" si="747"/>
        <v>0.85454604711071436</v>
      </c>
      <c r="AM155" s="530"/>
      <c r="AN155" s="533"/>
      <c r="AO155" s="533"/>
      <c r="AP155" s="530">
        <f>_xlfn.STDEV.P(B155,I155,L155,O155,R155,U155,X155,AA155,AD155,AG155,AJ155)</f>
        <v>1596.959978806635</v>
      </c>
      <c r="AQ155" s="533">
        <f>_xlfn.STDEV.P(C155,J155,M155,P155,S155,V155,Y155,AB155,AE155,AH155,AK155)</f>
        <v>23.010081656030728</v>
      </c>
      <c r="AR155" s="561">
        <f>_xlfn.STDEV.P(D155,K155,N155,Q155,T155,W155,Z155,AC155,AF155,AI155,AL155)</f>
        <v>0.61155678626391297</v>
      </c>
      <c r="AS155" s="530">
        <f t="shared" ref="AS155" si="748">MIN(B155,I155,L155,O155,R155,U155,X155,AA155,AD155,AG155,AJ155)</f>
        <v>1769.7019904313008</v>
      </c>
      <c r="AT155" s="533">
        <f t="shared" ref="AT155:AU155" si="749">MIN(C155,J155,M155,P155,S155,V155,Y155,AB155,AE155,AH155,AK155)</f>
        <v>26.571407229079448</v>
      </c>
      <c r="AU155" s="561">
        <f t="shared" si="749"/>
        <v>0.50441615211709145</v>
      </c>
      <c r="AV155" s="530">
        <f t="shared" ref="AV155" si="750">MAX(B155,I155,L155,O155,R155,U155,X155,AA155,AD155,AG155,AJ155)</f>
        <v>6638.0989558432511</v>
      </c>
      <c r="AW155" s="533">
        <f t="shared" ref="AW155:AX155" si="751">MAX(C155,J155,M155,P155,S155,V155,Y155,AB155,AE155,AH155,AK155)</f>
        <v>88.449521427853554</v>
      </c>
      <c r="AX155" s="561">
        <f t="shared" si="751"/>
        <v>2.2348094286496338</v>
      </c>
    </row>
    <row r="156" spans="1:50" outlineLevel="1" x14ac:dyDescent="0.25">
      <c r="A156" s="444"/>
      <c r="B156" s="530"/>
      <c r="C156" s="533"/>
      <c r="D156" s="561"/>
      <c r="E156" s="444"/>
      <c r="F156" s="444"/>
      <c r="G156" s="444"/>
      <c r="H156" s="444"/>
      <c r="I156" s="530"/>
      <c r="J156" s="533"/>
      <c r="K156" s="561"/>
      <c r="L156" s="530"/>
      <c r="M156" s="533"/>
      <c r="N156" s="561"/>
      <c r="O156" s="530"/>
      <c r="P156" s="533"/>
      <c r="Q156" s="561"/>
      <c r="R156" s="720" t="s">
        <v>388</v>
      </c>
      <c r="S156" s="720"/>
      <c r="T156" s="721"/>
      <c r="U156" s="530"/>
      <c r="V156" s="533"/>
      <c r="W156" s="561"/>
      <c r="X156" s="530"/>
      <c r="Y156" s="533"/>
      <c r="Z156" s="561"/>
      <c r="AA156" s="530"/>
      <c r="AB156" s="533"/>
      <c r="AC156" s="561"/>
      <c r="AD156" s="530"/>
      <c r="AE156" s="533"/>
      <c r="AF156" s="561"/>
      <c r="AG156" s="530"/>
      <c r="AH156" s="533"/>
      <c r="AI156" s="561"/>
      <c r="AJ156" s="722" t="s">
        <v>390</v>
      </c>
      <c r="AK156" s="722"/>
      <c r="AL156" s="723"/>
      <c r="AM156" s="530"/>
      <c r="AN156" s="533"/>
      <c r="AO156" s="533"/>
      <c r="AP156" s="530"/>
      <c r="AQ156" s="533"/>
      <c r="AR156" s="561"/>
      <c r="AS156" s="530"/>
      <c r="AT156" s="533"/>
      <c r="AU156" s="561"/>
      <c r="AV156" s="530"/>
      <c r="AW156" s="533"/>
      <c r="AX156" s="561"/>
    </row>
    <row r="157" spans="1:50" outlineLevel="1" x14ac:dyDescent="0.25">
      <c r="A157" s="444" t="s">
        <v>387</v>
      </c>
      <c r="B157" s="530">
        <f t="shared" ref="B157:AL157" si="752">_xlfn.STDEV.P(B132:B152)</f>
        <v>5825.0735152580573</v>
      </c>
      <c r="C157" s="533">
        <f t="shared" si="752"/>
        <v>88.449521427853554</v>
      </c>
      <c r="D157" s="561">
        <f t="shared" si="752"/>
        <v>2.2348094286496338</v>
      </c>
      <c r="E157" s="444">
        <f t="shared" si="752"/>
        <v>13349.476719852264</v>
      </c>
      <c r="F157" s="444">
        <f t="shared" si="752"/>
        <v>184.25359631524711</v>
      </c>
      <c r="G157" s="444">
        <f t="shared" si="752"/>
        <v>13349.476719852264</v>
      </c>
      <c r="H157" s="444">
        <f t="shared" si="752"/>
        <v>184.25359631524711</v>
      </c>
      <c r="I157" s="530">
        <f t="shared" si="752"/>
        <v>5539.6283427483177</v>
      </c>
      <c r="J157" s="533">
        <f t="shared" si="752"/>
        <v>81.346518356402626</v>
      </c>
      <c r="K157" s="561">
        <f t="shared" ref="K157" si="753">_xlfn.STDEV.P(K132:K152)</f>
        <v>1.326502798350947</v>
      </c>
      <c r="L157" s="530">
        <f t="shared" si="752"/>
        <v>3471.194063214788</v>
      </c>
      <c r="M157" s="533">
        <f t="shared" si="752"/>
        <v>46.489427778631608</v>
      </c>
      <c r="N157" s="561">
        <f t="shared" si="752"/>
        <v>1.1378112212752123</v>
      </c>
      <c r="O157" s="530">
        <f t="shared" si="752"/>
        <v>4617.7979863387773</v>
      </c>
      <c r="P157" s="533">
        <f t="shared" si="752"/>
        <v>57.16302501795991</v>
      </c>
      <c r="Q157" s="561">
        <f t="shared" si="752"/>
        <v>1.6096971624737595</v>
      </c>
      <c r="R157" s="530">
        <f t="shared" si="752"/>
        <v>1769.7019904313008</v>
      </c>
      <c r="S157" s="533">
        <f t="shared" si="752"/>
        <v>26.571407229079448</v>
      </c>
      <c r="T157" s="561">
        <f t="shared" si="752"/>
        <v>0.5298089589887236</v>
      </c>
      <c r="U157" s="530">
        <f t="shared" si="752"/>
        <v>5269.2942309393438</v>
      </c>
      <c r="V157" s="533">
        <f t="shared" si="752"/>
        <v>75.368027363182478</v>
      </c>
      <c r="W157" s="561">
        <f t="shared" si="752"/>
        <v>1.3141888025451705</v>
      </c>
      <c r="X157" s="530">
        <f t="shared" si="752"/>
        <v>2262.3234425163137</v>
      </c>
      <c r="Y157" s="533">
        <f t="shared" si="752"/>
        <v>33.830712138833562</v>
      </c>
      <c r="Z157" s="561">
        <f t="shared" si="752"/>
        <v>0.50441615211709145</v>
      </c>
      <c r="AA157" s="530">
        <f t="shared" si="752"/>
        <v>4530.672056475275</v>
      </c>
      <c r="AB157" s="533">
        <f t="shared" si="752"/>
        <v>74.26559100688975</v>
      </c>
      <c r="AC157" s="561">
        <f t="shared" si="752"/>
        <v>2.1260483116508575</v>
      </c>
      <c r="AD157" s="530">
        <f t="shared" si="752"/>
        <v>1896.8046269398849</v>
      </c>
      <c r="AE157" s="533">
        <f t="shared" si="752"/>
        <v>30.697655087445348</v>
      </c>
      <c r="AF157" s="561">
        <f t="shared" si="752"/>
        <v>0.57329855514652994</v>
      </c>
      <c r="AG157" s="530">
        <f t="shared" si="752"/>
        <v>3272.298405783486</v>
      </c>
      <c r="AH157" s="533">
        <f t="shared" si="752"/>
        <v>36.094697437544873</v>
      </c>
      <c r="AI157" s="561">
        <f t="shared" si="752"/>
        <v>1.9948414843486768</v>
      </c>
      <c r="AJ157" s="530">
        <f t="shared" si="752"/>
        <v>6638.0989558432511</v>
      </c>
      <c r="AK157" s="533">
        <f t="shared" si="752"/>
        <v>87.245633029992149</v>
      </c>
      <c r="AL157" s="561">
        <f t="shared" si="752"/>
        <v>0.85454604711071436</v>
      </c>
      <c r="AM157" s="530"/>
      <c r="AN157" s="533"/>
      <c r="AO157" s="533"/>
      <c r="AP157" s="530">
        <f t="shared" ref="AP157" si="754">AVERAGE(B157,I157,L157,O157,R157,U157,X157,AA157,AD157,AG157,AJ157)</f>
        <v>4099.3534196807996</v>
      </c>
      <c r="AQ157" s="533">
        <f t="shared" ref="AQ157:AR157" si="755">AVERAGE(C157,J157,M157,P157,S157,V157,Y157,AB157,AE157,AH157,AK157)</f>
        <v>57.956565079437752</v>
      </c>
      <c r="AR157" s="561">
        <f t="shared" si="755"/>
        <v>1.2914517202415743</v>
      </c>
      <c r="AS157" s="530">
        <f t="shared" ref="AS157" si="756">MIN(B157,I157,L157,O157,R157,U157,X157,AA157,AD157,AG157,AJ157)</f>
        <v>1769.7019904313008</v>
      </c>
      <c r="AT157" s="533">
        <f t="shared" ref="AT157:AU157" si="757">MIN(C157,J157,M157,P157,S157,V157,Y157,AB157,AE157,AH157,AK157)</f>
        <v>26.571407229079448</v>
      </c>
      <c r="AU157" s="561">
        <f t="shared" si="757"/>
        <v>0.50441615211709145</v>
      </c>
      <c r="AV157" s="530">
        <f t="shared" ref="AV157" si="758">MAX(B157,I157,L157,O157,R157,U157,X157,AA157,AD157,AG157,AJ157)</f>
        <v>6638.0989558432511</v>
      </c>
      <c r="AW157" s="533">
        <f t="shared" ref="AW157:AX157" si="759">MAX(C157,J157,M157,P157,S157,V157,Y157,AB157,AE157,AH157,AK157)</f>
        <v>88.449521427853554</v>
      </c>
      <c r="AX157" s="561">
        <f t="shared" si="759"/>
        <v>2.2348094286496338</v>
      </c>
    </row>
    <row r="158" spans="1:50" outlineLevel="1" x14ac:dyDescent="0.25">
      <c r="B158" s="682" t="s">
        <v>390</v>
      </c>
      <c r="C158" s="682"/>
      <c r="D158" s="554"/>
      <c r="K158" s="14"/>
      <c r="AD158" s="686" t="s">
        <v>388</v>
      </c>
      <c r="AE158" s="686"/>
      <c r="AF158" s="557"/>
    </row>
    <row r="159" spans="1:50" outlineLevel="1" x14ac:dyDescent="0.25"/>
    <row r="160" spans="1:50" outlineLevel="1" x14ac:dyDescent="0.25"/>
    <row r="161" spans="1:47" outlineLevel="1" x14ac:dyDescent="0.25">
      <c r="A161" s="528" t="s">
        <v>340</v>
      </c>
      <c r="AM161" s="724" t="s">
        <v>350</v>
      </c>
      <c r="AN161" s="724"/>
      <c r="AO161" s="558"/>
    </row>
    <row r="162" spans="1:47" outlineLevel="1" x14ac:dyDescent="0.25">
      <c r="A162" s="443" t="s">
        <v>31</v>
      </c>
      <c r="B162" s="441" t="s">
        <v>70</v>
      </c>
      <c r="C162" s="433" t="s">
        <v>71</v>
      </c>
      <c r="D162" s="542"/>
      <c r="E162" s="435" t="s">
        <v>52</v>
      </c>
      <c r="F162" s="436" t="s">
        <v>53</v>
      </c>
      <c r="G162" s="437" t="s">
        <v>48</v>
      </c>
      <c r="H162" s="438" t="s">
        <v>49</v>
      </c>
      <c r="I162" s="435" t="s">
        <v>50</v>
      </c>
      <c r="J162" s="436" t="s">
        <v>51</v>
      </c>
      <c r="K162" s="542"/>
      <c r="L162" s="439" t="s">
        <v>136</v>
      </c>
      <c r="M162" s="442" t="s">
        <v>137</v>
      </c>
      <c r="N162" s="442"/>
      <c r="O162" s="441" t="s">
        <v>72</v>
      </c>
      <c r="P162" s="433" t="s">
        <v>73</v>
      </c>
      <c r="Q162" s="433"/>
      <c r="R162" s="437" t="s">
        <v>87</v>
      </c>
      <c r="S162" s="438" t="s">
        <v>88</v>
      </c>
      <c r="T162" s="438"/>
      <c r="U162" s="434" t="s">
        <v>94</v>
      </c>
      <c r="V162" s="434" t="s">
        <v>95</v>
      </c>
      <c r="W162" s="434"/>
      <c r="X162" s="434" t="s">
        <v>110</v>
      </c>
      <c r="Y162" s="434" t="s">
        <v>113</v>
      </c>
      <c r="Z162" s="434"/>
      <c r="AA162" s="439" t="s">
        <v>132</v>
      </c>
      <c r="AB162" s="442" t="s">
        <v>133</v>
      </c>
      <c r="AC162" s="442"/>
      <c r="AD162" s="437" t="s">
        <v>134</v>
      </c>
      <c r="AE162" s="438" t="s">
        <v>135</v>
      </c>
      <c r="AF162" s="438"/>
      <c r="AG162" s="439" t="s">
        <v>154</v>
      </c>
      <c r="AH162" s="442" t="s">
        <v>153</v>
      </c>
      <c r="AI162" s="442"/>
      <c r="AJ162" s="434" t="s">
        <v>169</v>
      </c>
      <c r="AK162" s="434" t="s">
        <v>170</v>
      </c>
      <c r="AL162" s="434"/>
      <c r="AM162" s="434" t="s">
        <v>199</v>
      </c>
      <c r="AN162" s="434" t="s">
        <v>200</v>
      </c>
      <c r="AO162" s="559"/>
      <c r="AP162" s="712" t="s">
        <v>351</v>
      </c>
      <c r="AQ162" s="712"/>
      <c r="AR162" s="512"/>
    </row>
    <row r="163" spans="1:47" outlineLevel="1" x14ac:dyDescent="0.25">
      <c r="A163" s="444" t="s">
        <v>347</v>
      </c>
      <c r="B163" s="428">
        <f>SUM(B54:B55)</f>
        <v>0.2688908493062796</v>
      </c>
      <c r="C163" s="428">
        <f>SUM(C54:C55)</f>
        <v>0.23631123919308358</v>
      </c>
      <c r="D163" s="543"/>
      <c r="E163" s="427"/>
      <c r="F163" s="427"/>
      <c r="G163" s="427"/>
      <c r="H163" s="427"/>
      <c r="I163" s="428">
        <f t="shared" ref="I163:AN163" si="760">SUM(I54:I55)</f>
        <v>0.29010960685643317</v>
      </c>
      <c r="J163" s="428">
        <f t="shared" si="760"/>
        <v>0.2724867724867725</v>
      </c>
      <c r="K163" s="543"/>
      <c r="L163" s="428">
        <f t="shared" si="760"/>
        <v>0.34487525668181157</v>
      </c>
      <c r="M163" s="428">
        <f t="shared" si="760"/>
        <v>0.35410334346504557</v>
      </c>
      <c r="N163" s="428"/>
      <c r="O163" s="428">
        <f t="shared" si="760"/>
        <v>0.27260503828160593</v>
      </c>
      <c r="P163" s="428">
        <f t="shared" si="760"/>
        <v>0.29175050301810868</v>
      </c>
      <c r="Q163" s="428"/>
      <c r="R163" s="428">
        <f t="shared" si="760"/>
        <v>0.47684637167105159</v>
      </c>
      <c r="S163" s="428">
        <f t="shared" si="760"/>
        <v>0.47415865384615385</v>
      </c>
      <c r="T163" s="428"/>
      <c r="U163" s="428">
        <f t="shared" si="760"/>
        <v>0.24667419534092858</v>
      </c>
      <c r="V163" s="428">
        <f t="shared" si="760"/>
        <v>0.24366706875753921</v>
      </c>
      <c r="W163" s="428"/>
      <c r="X163" s="428">
        <f t="shared" si="760"/>
        <v>0.4329473274856328</v>
      </c>
      <c r="Y163" s="428">
        <f t="shared" si="760"/>
        <v>0.4276923076923077</v>
      </c>
      <c r="Z163" s="428"/>
      <c r="AA163" s="428">
        <f t="shared" si="760"/>
        <v>0.28160155673121195</v>
      </c>
      <c r="AB163" s="428">
        <f t="shared" si="760"/>
        <v>0.26666666666666666</v>
      </c>
      <c r="AC163" s="428"/>
      <c r="AD163" s="428">
        <f t="shared" si="760"/>
        <v>0.37416739870852406</v>
      </c>
      <c r="AE163" s="428">
        <f t="shared" si="760"/>
        <v>0.36785714285714288</v>
      </c>
      <c r="AF163" s="428"/>
      <c r="AG163" s="428">
        <f t="shared" si="760"/>
        <v>0.3154105054071949</v>
      </c>
      <c r="AH163" s="428">
        <f t="shared" si="760"/>
        <v>0.33085501858736061</v>
      </c>
      <c r="AI163" s="428"/>
      <c r="AJ163" s="428">
        <f t="shared" si="760"/>
        <v>0.22318924319574351</v>
      </c>
      <c r="AK163" s="428">
        <f t="shared" si="760"/>
        <v>0.22535211267605634</v>
      </c>
      <c r="AL163" s="428"/>
      <c r="AM163" s="428">
        <f t="shared" si="760"/>
        <v>0.42490511261556035</v>
      </c>
      <c r="AN163" s="428">
        <f t="shared" si="760"/>
        <v>0.41745894554883317</v>
      </c>
      <c r="AO163" s="540"/>
      <c r="AP163" s="503">
        <f t="shared" ref="AP163:AP165" si="761">AVERAGE(B163,I163,L163,O163,R163,U163,X163,AA163,AD163,AG163,AJ163)</f>
        <v>0.32066521360603795</v>
      </c>
      <c r="AQ163" s="503">
        <f t="shared" ref="AQ163:AQ165" si="762">AVERAGE(C163,J163,M163,P163,S163,V163,Y163,AB163,AE163,AH163,AK163)</f>
        <v>0.31735462084056709</v>
      </c>
      <c r="AR163" s="503"/>
      <c r="AS163" t="s">
        <v>358</v>
      </c>
    </row>
    <row r="164" spans="1:47" outlineLevel="1" x14ac:dyDescent="0.25">
      <c r="A164" s="445" t="s">
        <v>348</v>
      </c>
      <c r="B164" s="426">
        <f>SUM(B56:B72)</f>
        <v>0.52629721709840405</v>
      </c>
      <c r="C164" s="426">
        <f>SUM(C56:C72)</f>
        <v>0.53314121037463968</v>
      </c>
      <c r="D164" s="544"/>
      <c r="E164" s="427"/>
      <c r="F164" s="427"/>
      <c r="G164" s="427"/>
      <c r="H164" s="427"/>
      <c r="I164" s="426">
        <f t="shared" ref="I164:AN164" si="763">SUM(I56:I72)</f>
        <v>0.43362370460629995</v>
      </c>
      <c r="J164" s="426">
        <f t="shared" si="763"/>
        <v>0.43783068783068785</v>
      </c>
      <c r="K164" s="544"/>
      <c r="L164" s="426">
        <f t="shared" si="763"/>
        <v>0.47303021973579967</v>
      </c>
      <c r="M164" s="426">
        <f t="shared" si="763"/>
        <v>0.48024316109422494</v>
      </c>
      <c r="N164" s="426"/>
      <c r="O164" s="426">
        <f t="shared" si="763"/>
        <v>0.52117433965618787</v>
      </c>
      <c r="P164" s="426">
        <f t="shared" si="763"/>
        <v>0.51509054325955728</v>
      </c>
      <c r="Q164" s="426"/>
      <c r="R164" s="426">
        <f t="shared" si="763"/>
        <v>0.41067522179046922</v>
      </c>
      <c r="S164" s="426">
        <f t="shared" si="763"/>
        <v>0.41706730769230771</v>
      </c>
      <c r="T164" s="426"/>
      <c r="U164" s="426">
        <f t="shared" si="763"/>
        <v>0.52063855449454177</v>
      </c>
      <c r="V164" s="426">
        <f t="shared" si="763"/>
        <v>0.53437876960193009</v>
      </c>
      <c r="W164" s="426"/>
      <c r="X164" s="426">
        <f t="shared" si="763"/>
        <v>0.4213066586008728</v>
      </c>
      <c r="Y164" s="426">
        <f t="shared" si="763"/>
        <v>0.42051282051282046</v>
      </c>
      <c r="Z164" s="426"/>
      <c r="AA164" s="426">
        <f t="shared" si="763"/>
        <v>0.51412090728240933</v>
      </c>
      <c r="AB164" s="426">
        <f t="shared" si="763"/>
        <v>0.53798449612403099</v>
      </c>
      <c r="AC164" s="426"/>
      <c r="AD164" s="426">
        <f t="shared" si="763"/>
        <v>0.48862792238815173</v>
      </c>
      <c r="AE164" s="426">
        <f t="shared" si="763"/>
        <v>0.49761904761904763</v>
      </c>
      <c r="AF164" s="426"/>
      <c r="AG164" s="426">
        <f t="shared" si="763"/>
        <v>0.42140256014124916</v>
      </c>
      <c r="AH164" s="426">
        <f t="shared" si="763"/>
        <v>0.40520446096654278</v>
      </c>
      <c r="AI164" s="426"/>
      <c r="AJ164" s="426">
        <f t="shared" si="763"/>
        <v>0.56953121551727592</v>
      </c>
      <c r="AK164" s="426">
        <f t="shared" si="763"/>
        <v>0.56690140845070425</v>
      </c>
      <c r="AL164" s="426"/>
      <c r="AM164" s="426">
        <f t="shared" si="763"/>
        <v>0.42861732126072311</v>
      </c>
      <c r="AN164" s="426">
        <f t="shared" si="763"/>
        <v>0.42350907519446851</v>
      </c>
      <c r="AO164" s="555"/>
      <c r="AP164" s="503">
        <f t="shared" si="761"/>
        <v>0.48185713830106014</v>
      </c>
      <c r="AQ164" s="503">
        <f t="shared" si="762"/>
        <v>0.48599762850240841</v>
      </c>
      <c r="AR164" s="503"/>
      <c r="AS164" t="s">
        <v>362</v>
      </c>
    </row>
    <row r="165" spans="1:47" outlineLevel="1" x14ac:dyDescent="0.25">
      <c r="A165" s="444" t="s">
        <v>349</v>
      </c>
      <c r="B165" s="428">
        <f>SUM(B73:B74)</f>
        <v>0.20481193359531635</v>
      </c>
      <c r="C165" s="428">
        <f>SUM(C73:C74)</f>
        <v>0.2305475504322767</v>
      </c>
      <c r="D165" s="543"/>
      <c r="E165" s="427"/>
      <c r="F165" s="427"/>
      <c r="G165" s="427"/>
      <c r="H165" s="427"/>
      <c r="I165" s="428">
        <f t="shared" ref="I165:AN165" si="764">SUM(I73:I74)</f>
        <v>0.27626668853726688</v>
      </c>
      <c r="J165" s="428">
        <f t="shared" si="764"/>
        <v>0.28968253968253965</v>
      </c>
      <c r="K165" s="543"/>
      <c r="L165" s="428">
        <f t="shared" si="764"/>
        <v>0.18209452358238876</v>
      </c>
      <c r="M165" s="428">
        <f t="shared" si="764"/>
        <v>0.16565349544072949</v>
      </c>
      <c r="N165" s="428"/>
      <c r="O165" s="428">
        <f t="shared" si="764"/>
        <v>0.20622062206220626</v>
      </c>
      <c r="P165" s="428">
        <f t="shared" si="764"/>
        <v>0.19315895372233405</v>
      </c>
      <c r="Q165" s="428"/>
      <c r="R165" s="428">
        <f t="shared" si="764"/>
        <v>0.11247840653847918</v>
      </c>
      <c r="S165" s="428">
        <f t="shared" si="764"/>
        <v>0.10877403846153844</v>
      </c>
      <c r="T165" s="428"/>
      <c r="U165" s="428">
        <f t="shared" si="764"/>
        <v>0.23268725016452974</v>
      </c>
      <c r="V165" s="428">
        <f t="shared" si="764"/>
        <v>0.22195416164053072</v>
      </c>
      <c r="W165" s="428"/>
      <c r="X165" s="428">
        <f t="shared" si="764"/>
        <v>0.1457460139134944</v>
      </c>
      <c r="Y165" s="428">
        <f t="shared" si="764"/>
        <v>0.15179487179487183</v>
      </c>
      <c r="Z165" s="428"/>
      <c r="AA165" s="428">
        <f t="shared" si="764"/>
        <v>0.20427753598637866</v>
      </c>
      <c r="AB165" s="428">
        <f t="shared" si="764"/>
        <v>0.1953488372093023</v>
      </c>
      <c r="AC165" s="428"/>
      <c r="AD165" s="428">
        <f t="shared" si="764"/>
        <v>0.13720467890332422</v>
      </c>
      <c r="AE165" s="428">
        <f t="shared" si="764"/>
        <v>0.13452380952380949</v>
      </c>
      <c r="AF165" s="428"/>
      <c r="AG165" s="428">
        <f t="shared" si="764"/>
        <v>0.26318693445155594</v>
      </c>
      <c r="AH165" s="428">
        <f t="shared" si="764"/>
        <v>0.26394052044609662</v>
      </c>
      <c r="AI165" s="428"/>
      <c r="AJ165" s="428">
        <f t="shared" si="764"/>
        <v>0.20727954128698056</v>
      </c>
      <c r="AK165" s="428">
        <f t="shared" si="764"/>
        <v>0.20774647887323938</v>
      </c>
      <c r="AL165" s="428"/>
      <c r="AM165" s="428">
        <f t="shared" si="764"/>
        <v>0.14647756612371654</v>
      </c>
      <c r="AN165" s="428">
        <f t="shared" si="764"/>
        <v>0.15903197925669832</v>
      </c>
      <c r="AO165" s="540"/>
      <c r="AP165" s="503">
        <f t="shared" si="761"/>
        <v>0.19747764809290189</v>
      </c>
      <c r="AQ165" s="503">
        <f t="shared" si="762"/>
        <v>0.19664775065702444</v>
      </c>
      <c r="AR165" s="503"/>
      <c r="AS165" t="s">
        <v>361</v>
      </c>
    </row>
    <row r="166" spans="1:47" outlineLevel="1" x14ac:dyDescent="0.25">
      <c r="AM166" s="724" t="s">
        <v>350</v>
      </c>
      <c r="AN166" s="724"/>
      <c r="AO166" s="558"/>
    </row>
    <row r="167" spans="1:47" outlineLevel="1" x14ac:dyDescent="0.25">
      <c r="A167" s="443" t="s">
        <v>31</v>
      </c>
      <c r="B167" s="441" t="s">
        <v>70</v>
      </c>
      <c r="C167" s="433" t="s">
        <v>71</v>
      </c>
      <c r="D167" s="542"/>
      <c r="E167" s="435" t="s">
        <v>52</v>
      </c>
      <c r="F167" s="436" t="s">
        <v>53</v>
      </c>
      <c r="G167" s="437" t="s">
        <v>48</v>
      </c>
      <c r="H167" s="438" t="s">
        <v>49</v>
      </c>
      <c r="I167" s="435" t="s">
        <v>50</v>
      </c>
      <c r="J167" s="436" t="s">
        <v>51</v>
      </c>
      <c r="K167" s="542"/>
      <c r="L167" s="439" t="s">
        <v>136</v>
      </c>
      <c r="M167" s="442" t="s">
        <v>137</v>
      </c>
      <c r="N167" s="442"/>
      <c r="O167" s="441" t="s">
        <v>72</v>
      </c>
      <c r="P167" s="433" t="s">
        <v>73</v>
      </c>
      <c r="Q167" s="433"/>
      <c r="R167" s="437" t="s">
        <v>87</v>
      </c>
      <c r="S167" s="438" t="s">
        <v>88</v>
      </c>
      <c r="T167" s="438"/>
      <c r="U167" s="434" t="s">
        <v>94</v>
      </c>
      <c r="V167" s="434" t="s">
        <v>95</v>
      </c>
      <c r="W167" s="434"/>
      <c r="X167" s="434" t="s">
        <v>110</v>
      </c>
      <c r="Y167" s="434" t="s">
        <v>113</v>
      </c>
      <c r="Z167" s="434"/>
      <c r="AA167" s="439" t="s">
        <v>132</v>
      </c>
      <c r="AB167" s="442" t="s">
        <v>133</v>
      </c>
      <c r="AC167" s="442"/>
      <c r="AD167" s="437" t="s">
        <v>134</v>
      </c>
      <c r="AE167" s="438" t="s">
        <v>135</v>
      </c>
      <c r="AF167" s="438"/>
      <c r="AG167" s="439" t="s">
        <v>154</v>
      </c>
      <c r="AH167" s="442" t="s">
        <v>153</v>
      </c>
      <c r="AI167" s="442"/>
      <c r="AJ167" s="434" t="s">
        <v>169</v>
      </c>
      <c r="AK167" s="434" t="s">
        <v>170</v>
      </c>
      <c r="AL167" s="434"/>
      <c r="AM167" s="434" t="s">
        <v>199</v>
      </c>
      <c r="AN167" s="434" t="s">
        <v>200</v>
      </c>
      <c r="AO167" s="559"/>
      <c r="AP167" s="712" t="s">
        <v>351</v>
      </c>
      <c r="AQ167" s="712"/>
      <c r="AR167" s="512"/>
    </row>
    <row r="168" spans="1:47" outlineLevel="1" x14ac:dyDescent="0.25">
      <c r="A168" s="444" t="s">
        <v>347</v>
      </c>
      <c r="B168" s="428">
        <f t="shared" ref="B168:AN168" si="765">SUM(B54:B55)</f>
        <v>0.2688908493062796</v>
      </c>
      <c r="C168" s="428">
        <f t="shared" si="765"/>
        <v>0.23631123919308358</v>
      </c>
      <c r="D168" s="543"/>
      <c r="E168" s="427">
        <f t="shared" si="765"/>
        <v>0</v>
      </c>
      <c r="F168" s="427">
        <f t="shared" si="765"/>
        <v>0</v>
      </c>
      <c r="G168" s="427">
        <f t="shared" si="765"/>
        <v>0</v>
      </c>
      <c r="H168" s="427">
        <f t="shared" si="765"/>
        <v>0</v>
      </c>
      <c r="I168" s="428">
        <f t="shared" si="765"/>
        <v>0.29010960685643317</v>
      </c>
      <c r="J168" s="428">
        <f t="shared" si="765"/>
        <v>0.2724867724867725</v>
      </c>
      <c r="K168" s="543"/>
      <c r="L168" s="428">
        <f t="shared" si="765"/>
        <v>0.34487525668181157</v>
      </c>
      <c r="M168" s="428">
        <f t="shared" si="765"/>
        <v>0.35410334346504557</v>
      </c>
      <c r="N168" s="428"/>
      <c r="O168" s="428">
        <f t="shared" si="765"/>
        <v>0.27260503828160593</v>
      </c>
      <c r="P168" s="428">
        <f t="shared" si="765"/>
        <v>0.29175050301810868</v>
      </c>
      <c r="Q168" s="428"/>
      <c r="R168" s="428">
        <f t="shared" si="765"/>
        <v>0.47684637167105159</v>
      </c>
      <c r="S168" s="428">
        <f t="shared" si="765"/>
        <v>0.47415865384615385</v>
      </c>
      <c r="T168" s="428"/>
      <c r="U168" s="428">
        <f t="shared" si="765"/>
        <v>0.24667419534092858</v>
      </c>
      <c r="V168" s="428">
        <f t="shared" si="765"/>
        <v>0.24366706875753921</v>
      </c>
      <c r="W168" s="428"/>
      <c r="X168" s="428">
        <f t="shared" si="765"/>
        <v>0.4329473274856328</v>
      </c>
      <c r="Y168" s="428">
        <f t="shared" si="765"/>
        <v>0.4276923076923077</v>
      </c>
      <c r="Z168" s="428"/>
      <c r="AA168" s="428">
        <f t="shared" si="765"/>
        <v>0.28160155673121195</v>
      </c>
      <c r="AB168" s="428">
        <f t="shared" si="765"/>
        <v>0.26666666666666666</v>
      </c>
      <c r="AC168" s="428"/>
      <c r="AD168" s="428">
        <f t="shared" si="765"/>
        <v>0.37416739870852406</v>
      </c>
      <c r="AE168" s="428">
        <f t="shared" si="765"/>
        <v>0.36785714285714288</v>
      </c>
      <c r="AF168" s="428"/>
      <c r="AG168" s="428">
        <f t="shared" si="765"/>
        <v>0.3154105054071949</v>
      </c>
      <c r="AH168" s="428">
        <f t="shared" si="765"/>
        <v>0.33085501858736061</v>
      </c>
      <c r="AI168" s="428"/>
      <c r="AJ168" s="428">
        <f t="shared" si="765"/>
        <v>0.22318924319574351</v>
      </c>
      <c r="AK168" s="428">
        <f t="shared" si="765"/>
        <v>0.22535211267605634</v>
      </c>
      <c r="AL168" s="428"/>
      <c r="AM168" s="428">
        <f t="shared" si="765"/>
        <v>0.42490511261556035</v>
      </c>
      <c r="AN168" s="428">
        <f t="shared" si="765"/>
        <v>0.41745894554883317</v>
      </c>
      <c r="AO168" s="540"/>
      <c r="AP168" s="503">
        <f t="shared" ref="AP168:AP170" si="766">AVERAGE(B168,I168,L168,O168,R168,U168,X168,AA168,AD168,AG168,AJ168)</f>
        <v>0.32066521360603795</v>
      </c>
      <c r="AQ168" s="503">
        <f t="shared" ref="AQ168:AQ170" si="767">AVERAGE(C168,J168,M168,P168,S168,V168,Y168,AB168,AE168,AH168,AK168)</f>
        <v>0.31735462084056709</v>
      </c>
      <c r="AR168" s="503"/>
      <c r="AS168" s="539" t="s">
        <v>358</v>
      </c>
      <c r="AT168" s="539"/>
      <c r="AU168" s="539"/>
    </row>
    <row r="169" spans="1:47" outlineLevel="1" x14ac:dyDescent="0.25">
      <c r="A169" s="445" t="s">
        <v>357</v>
      </c>
      <c r="B169" s="426">
        <f t="shared" ref="B169:AN169" si="768">SUM(B56:B68)</f>
        <v>0.37913224797497791</v>
      </c>
      <c r="C169" s="426">
        <f t="shared" si="768"/>
        <v>0.3804034582132565</v>
      </c>
      <c r="D169" s="544"/>
      <c r="E169" s="427">
        <f t="shared" si="768"/>
        <v>0</v>
      </c>
      <c r="F169" s="427">
        <f t="shared" si="768"/>
        <v>0</v>
      </c>
      <c r="G169" s="427">
        <f t="shared" si="768"/>
        <v>0</v>
      </c>
      <c r="H169" s="427">
        <f t="shared" si="768"/>
        <v>0</v>
      </c>
      <c r="I169" s="426">
        <f t="shared" si="768"/>
        <v>0.28086537278633406</v>
      </c>
      <c r="J169" s="426">
        <f t="shared" si="768"/>
        <v>0.28571428571428575</v>
      </c>
      <c r="K169" s="544"/>
      <c r="L169" s="426">
        <f t="shared" si="768"/>
        <v>0.2777580157485407</v>
      </c>
      <c r="M169" s="426">
        <f t="shared" si="768"/>
        <v>0.29483282674772038</v>
      </c>
      <c r="N169" s="426"/>
      <c r="O169" s="426">
        <f t="shared" si="768"/>
        <v>0.38472736162505144</v>
      </c>
      <c r="P169" s="426">
        <f t="shared" si="768"/>
        <v>0.38631790744466799</v>
      </c>
      <c r="Q169" s="426"/>
      <c r="R169" s="426">
        <f t="shared" si="768"/>
        <v>0.31065305320043335</v>
      </c>
      <c r="S169" s="426">
        <f t="shared" si="768"/>
        <v>0.31490384615384615</v>
      </c>
      <c r="T169" s="426"/>
      <c r="U169" s="426">
        <f t="shared" si="768"/>
        <v>0.39095842071973103</v>
      </c>
      <c r="V169" s="426">
        <f t="shared" si="768"/>
        <v>0.41737032569360677</v>
      </c>
      <c r="W169" s="426"/>
      <c r="X169" s="426">
        <f t="shared" si="768"/>
        <v>0.28066802056777429</v>
      </c>
      <c r="Y169" s="426">
        <f t="shared" si="768"/>
        <v>0.28000000000000003</v>
      </c>
      <c r="Z169" s="426"/>
      <c r="AA169" s="426">
        <f t="shared" si="768"/>
        <v>0.37159139280533043</v>
      </c>
      <c r="AB169" s="426">
        <f t="shared" si="768"/>
        <v>0.37674418604651166</v>
      </c>
      <c r="AC169" s="426"/>
      <c r="AD169" s="426">
        <f t="shared" si="768"/>
        <v>0.37396088584770443</v>
      </c>
      <c r="AE169" s="426">
        <f t="shared" si="768"/>
        <v>0.38035714285714284</v>
      </c>
      <c r="AF169" s="426"/>
      <c r="AG169" s="426">
        <f t="shared" si="768"/>
        <v>0.30594791436768926</v>
      </c>
      <c r="AH169" s="426">
        <f t="shared" si="768"/>
        <v>0.27881040892193304</v>
      </c>
      <c r="AI169" s="426"/>
      <c r="AJ169" s="426">
        <f t="shared" si="768"/>
        <v>0.41807406337398034</v>
      </c>
      <c r="AK169" s="426">
        <f t="shared" si="768"/>
        <v>0.414612676056338</v>
      </c>
      <c r="AL169" s="426"/>
      <c r="AM169" s="426">
        <f t="shared" si="768"/>
        <v>0.29328827917712702</v>
      </c>
      <c r="AN169" s="426">
        <f t="shared" si="768"/>
        <v>0.2955920484010372</v>
      </c>
      <c r="AO169" s="555"/>
      <c r="AP169" s="503">
        <f t="shared" si="766"/>
        <v>0.34312152263795886</v>
      </c>
      <c r="AQ169" s="503">
        <f t="shared" si="767"/>
        <v>0.34636973307720986</v>
      </c>
      <c r="AR169" s="503"/>
      <c r="AS169" s="539" t="s">
        <v>360</v>
      </c>
      <c r="AT169" s="539"/>
      <c r="AU169" s="539"/>
    </row>
    <row r="170" spans="1:47" outlineLevel="1" x14ac:dyDescent="0.25">
      <c r="A170" s="444" t="s">
        <v>356</v>
      </c>
      <c r="B170" s="428">
        <f t="shared" ref="B170:AN170" si="769">SUM(B69:B74)</f>
        <v>0.35197690271874249</v>
      </c>
      <c r="C170" s="428">
        <f t="shared" si="769"/>
        <v>0.38328530259365989</v>
      </c>
      <c r="D170" s="543"/>
      <c r="E170" s="427">
        <f t="shared" si="769"/>
        <v>0</v>
      </c>
      <c r="F170" s="427">
        <f t="shared" si="769"/>
        <v>0</v>
      </c>
      <c r="G170" s="427">
        <f t="shared" si="769"/>
        <v>0</v>
      </c>
      <c r="H170" s="427">
        <f t="shared" si="769"/>
        <v>0</v>
      </c>
      <c r="I170" s="428">
        <f t="shared" si="769"/>
        <v>0.42902502035723278</v>
      </c>
      <c r="J170" s="428">
        <f t="shared" si="769"/>
        <v>0.44179894179894175</v>
      </c>
      <c r="K170" s="543"/>
      <c r="L170" s="428">
        <f t="shared" si="769"/>
        <v>0.37736672756964773</v>
      </c>
      <c r="M170" s="428">
        <f t="shared" si="769"/>
        <v>0.35106382978723405</v>
      </c>
      <c r="N170" s="428"/>
      <c r="O170" s="428">
        <f t="shared" si="769"/>
        <v>0.34266760009334263</v>
      </c>
      <c r="P170" s="428">
        <f t="shared" si="769"/>
        <v>0.32193158953722334</v>
      </c>
      <c r="Q170" s="428"/>
      <c r="R170" s="428">
        <f t="shared" si="769"/>
        <v>0.21250057512851506</v>
      </c>
      <c r="S170" s="428">
        <f t="shared" si="769"/>
        <v>0.2109375</v>
      </c>
      <c r="T170" s="428"/>
      <c r="U170" s="428">
        <f t="shared" si="769"/>
        <v>0.36236738393934043</v>
      </c>
      <c r="V170" s="428">
        <f t="shared" si="769"/>
        <v>0.33896260554885405</v>
      </c>
      <c r="W170" s="428"/>
      <c r="X170" s="428">
        <f t="shared" si="769"/>
        <v>0.28638465194659291</v>
      </c>
      <c r="Y170" s="428">
        <f t="shared" si="769"/>
        <v>0.29230769230769227</v>
      </c>
      <c r="Z170" s="428"/>
      <c r="AA170" s="428">
        <f t="shared" si="769"/>
        <v>0.34680705046345761</v>
      </c>
      <c r="AB170" s="428">
        <f t="shared" si="769"/>
        <v>0.35658914728682167</v>
      </c>
      <c r="AC170" s="428"/>
      <c r="AD170" s="428">
        <f t="shared" si="769"/>
        <v>0.25187171544377152</v>
      </c>
      <c r="AE170" s="428">
        <f t="shared" si="769"/>
        <v>0.25178571428571428</v>
      </c>
      <c r="AF170" s="428"/>
      <c r="AG170" s="428">
        <f t="shared" si="769"/>
        <v>0.37864158022511585</v>
      </c>
      <c r="AH170" s="428">
        <f t="shared" si="769"/>
        <v>0.39033457249070636</v>
      </c>
      <c r="AI170" s="428"/>
      <c r="AJ170" s="428">
        <f t="shared" si="769"/>
        <v>0.35873669343027614</v>
      </c>
      <c r="AK170" s="428">
        <f t="shared" si="769"/>
        <v>0.36003521126760563</v>
      </c>
      <c r="AL170" s="428"/>
      <c r="AM170" s="428">
        <f t="shared" si="769"/>
        <v>0.28180660820731263</v>
      </c>
      <c r="AN170" s="428">
        <f t="shared" si="769"/>
        <v>0.28694900605012963</v>
      </c>
      <c r="AO170" s="540"/>
      <c r="AP170" s="503">
        <f t="shared" si="766"/>
        <v>0.33621326375600319</v>
      </c>
      <c r="AQ170" s="503">
        <f t="shared" si="767"/>
        <v>0.33627564608222299</v>
      </c>
      <c r="AR170" s="503"/>
      <c r="AS170" s="539" t="s">
        <v>359</v>
      </c>
      <c r="AT170" s="539"/>
      <c r="AU170" s="539"/>
    </row>
    <row r="171" spans="1:47" outlineLevel="1" x14ac:dyDescent="0.25">
      <c r="AM171" s="724" t="s">
        <v>350</v>
      </c>
      <c r="AN171" s="724"/>
      <c r="AO171" s="558"/>
    </row>
    <row r="172" spans="1:47" outlineLevel="1" x14ac:dyDescent="0.25">
      <c r="A172" s="443" t="s">
        <v>31</v>
      </c>
      <c r="B172" s="441" t="s">
        <v>70</v>
      </c>
      <c r="C172" s="433" t="s">
        <v>71</v>
      </c>
      <c r="D172" s="542"/>
      <c r="E172" s="435" t="s">
        <v>52</v>
      </c>
      <c r="F172" s="436" t="s">
        <v>53</v>
      </c>
      <c r="G172" s="437" t="s">
        <v>48</v>
      </c>
      <c r="H172" s="438" t="s">
        <v>49</v>
      </c>
      <c r="I172" s="435" t="s">
        <v>50</v>
      </c>
      <c r="J172" s="436" t="s">
        <v>51</v>
      </c>
      <c r="K172" s="542"/>
      <c r="L172" s="439" t="s">
        <v>136</v>
      </c>
      <c r="M172" s="442" t="s">
        <v>137</v>
      </c>
      <c r="N172" s="442"/>
      <c r="O172" s="441" t="s">
        <v>72</v>
      </c>
      <c r="P172" s="433" t="s">
        <v>73</v>
      </c>
      <c r="Q172" s="433"/>
      <c r="R172" s="437" t="s">
        <v>87</v>
      </c>
      <c r="S172" s="438" t="s">
        <v>88</v>
      </c>
      <c r="T172" s="438"/>
      <c r="U172" s="434" t="s">
        <v>94</v>
      </c>
      <c r="V172" s="434" t="s">
        <v>95</v>
      </c>
      <c r="W172" s="434"/>
      <c r="X172" s="434" t="s">
        <v>110</v>
      </c>
      <c r="Y172" s="434" t="s">
        <v>113</v>
      </c>
      <c r="Z172" s="434"/>
      <c r="AA172" s="439" t="s">
        <v>132</v>
      </c>
      <c r="AB172" s="442" t="s">
        <v>133</v>
      </c>
      <c r="AC172" s="442"/>
      <c r="AD172" s="437" t="s">
        <v>134</v>
      </c>
      <c r="AE172" s="438" t="s">
        <v>135</v>
      </c>
      <c r="AF172" s="438"/>
      <c r="AG172" s="439" t="s">
        <v>154</v>
      </c>
      <c r="AH172" s="442" t="s">
        <v>153</v>
      </c>
      <c r="AI172" s="442"/>
      <c r="AJ172" s="434" t="s">
        <v>169</v>
      </c>
      <c r="AK172" s="434" t="s">
        <v>170</v>
      </c>
      <c r="AL172" s="434"/>
      <c r="AM172" s="434" t="s">
        <v>199</v>
      </c>
      <c r="AN172" s="434" t="s">
        <v>200</v>
      </c>
      <c r="AO172" s="559"/>
      <c r="AP172" s="712" t="s">
        <v>351</v>
      </c>
      <c r="AQ172" s="712"/>
      <c r="AR172" s="512"/>
    </row>
    <row r="173" spans="1:47" outlineLevel="1" x14ac:dyDescent="0.25">
      <c r="A173" s="444" t="s">
        <v>344</v>
      </c>
      <c r="B173" s="428">
        <f>SUM(B54:B56)</f>
        <v>0.2834870478787393</v>
      </c>
      <c r="C173" s="428">
        <f>SUM(C54:C56)</f>
        <v>0.25936599423631124</v>
      </c>
      <c r="D173" s="543"/>
      <c r="E173" s="427"/>
      <c r="F173" s="427"/>
      <c r="G173" s="427"/>
      <c r="H173" s="427"/>
      <c r="I173" s="428">
        <f t="shared" ref="I173:AN173" si="770">SUM(I54:I56)</f>
        <v>0.31576264931078318</v>
      </c>
      <c r="J173" s="428">
        <f t="shared" si="770"/>
        <v>0.29629629629629628</v>
      </c>
      <c r="K173" s="543"/>
      <c r="L173" s="428">
        <f t="shared" si="770"/>
        <v>0.36600805212864002</v>
      </c>
      <c r="M173" s="428">
        <f t="shared" si="770"/>
        <v>0.37689969604863222</v>
      </c>
      <c r="N173" s="428"/>
      <c r="O173" s="428">
        <f t="shared" si="770"/>
        <v>0.30748630418597417</v>
      </c>
      <c r="P173" s="428">
        <f t="shared" si="770"/>
        <v>0.32595573440643866</v>
      </c>
      <c r="Q173" s="428"/>
      <c r="R173" s="428">
        <f t="shared" si="770"/>
        <v>0.51246669483053575</v>
      </c>
      <c r="S173" s="428">
        <f t="shared" si="770"/>
        <v>0.51201923076923073</v>
      </c>
      <c r="T173" s="428"/>
      <c r="U173" s="428">
        <f t="shared" si="770"/>
        <v>0.29486539293789871</v>
      </c>
      <c r="V173" s="428">
        <f t="shared" si="770"/>
        <v>0.28950542822677927</v>
      </c>
      <c r="W173" s="428"/>
      <c r="X173" s="428">
        <f t="shared" si="770"/>
        <v>0.47741433694853735</v>
      </c>
      <c r="Y173" s="428">
        <f t="shared" si="770"/>
        <v>0.46974358974358976</v>
      </c>
      <c r="Z173" s="428"/>
      <c r="AA173" s="428">
        <f t="shared" si="770"/>
        <v>0.33176965242848333</v>
      </c>
      <c r="AB173" s="428">
        <f t="shared" si="770"/>
        <v>0.30852713178294572</v>
      </c>
      <c r="AC173" s="428"/>
      <c r="AD173" s="428">
        <f t="shared" si="770"/>
        <v>0.44334612480157815</v>
      </c>
      <c r="AE173" s="428">
        <f t="shared" si="770"/>
        <v>0.43511904761904763</v>
      </c>
      <c r="AF173" s="428"/>
      <c r="AG173" s="428">
        <f t="shared" si="770"/>
        <v>0.3629993378945045</v>
      </c>
      <c r="AH173" s="428">
        <f t="shared" si="770"/>
        <v>0.37546468401486988</v>
      </c>
      <c r="AI173" s="428"/>
      <c r="AJ173" s="428">
        <f t="shared" si="770"/>
        <v>0.26278092761787825</v>
      </c>
      <c r="AK173" s="428">
        <f t="shared" si="770"/>
        <v>0.26496478873239437</v>
      </c>
      <c r="AL173" s="428"/>
      <c r="AM173" s="428">
        <f t="shared" si="770"/>
        <v>0.46808333432484206</v>
      </c>
      <c r="AN173" s="428">
        <f t="shared" si="770"/>
        <v>0.46326707000864303</v>
      </c>
      <c r="AO173" s="540"/>
      <c r="AP173" s="503">
        <f t="shared" ref="AP173:AP175" si="771">AVERAGE(B173,I173,L173,O173,R173,U173,X173,AA173,AD173,AG173,AJ173)</f>
        <v>0.35985332008759569</v>
      </c>
      <c r="AQ173" s="503">
        <f t="shared" ref="AQ173:AQ175" si="772">AVERAGE(C173,J173,M173,P173,S173,V173,Y173,AB173,AE173,AH173,AK173)</f>
        <v>0.35580560198877592</v>
      </c>
      <c r="AR173" s="503"/>
      <c r="AS173" t="s">
        <v>363</v>
      </c>
    </row>
    <row r="174" spans="1:47" outlineLevel="1" x14ac:dyDescent="0.25">
      <c r="A174" s="445" t="s">
        <v>346</v>
      </c>
      <c r="B174" s="426">
        <f>SUM(B57:B71)</f>
        <v>0.46494506375812011</v>
      </c>
      <c r="C174" s="426">
        <f>SUM(C57:C71)</f>
        <v>0.4610951008645533</v>
      </c>
      <c r="D174" s="544"/>
      <c r="E174" s="427"/>
      <c r="F174" s="427"/>
      <c r="G174" s="427"/>
      <c r="H174" s="427"/>
      <c r="I174" s="426">
        <f t="shared" ref="I174:AN174" si="773">SUM(I57:I71)</f>
        <v>0.36039039021446856</v>
      </c>
      <c r="J174" s="426">
        <f t="shared" si="773"/>
        <v>0.3664021164021164</v>
      </c>
      <c r="K174" s="544"/>
      <c r="L174" s="426">
        <f t="shared" si="773"/>
        <v>0.37755267029928702</v>
      </c>
      <c r="M174" s="426">
        <f t="shared" si="773"/>
        <v>0.40425531914893614</v>
      </c>
      <c r="N174" s="426"/>
      <c r="O174" s="426">
        <f t="shared" si="773"/>
        <v>0.43424342434243418</v>
      </c>
      <c r="P174" s="426">
        <f t="shared" si="773"/>
        <v>0.43259557344064381</v>
      </c>
      <c r="Q174" s="426"/>
      <c r="R174" s="426">
        <f t="shared" si="773"/>
        <v>0.33712987865834021</v>
      </c>
      <c r="S174" s="426">
        <f t="shared" si="773"/>
        <v>0.3407451923076924</v>
      </c>
      <c r="T174" s="426"/>
      <c r="U174" s="426">
        <f t="shared" si="773"/>
        <v>0.42428176703618625</v>
      </c>
      <c r="V174" s="426">
        <f t="shared" si="773"/>
        <v>0.44028950542822676</v>
      </c>
      <c r="W174" s="426"/>
      <c r="X174" s="426">
        <f t="shared" si="773"/>
        <v>0.33288251307090694</v>
      </c>
      <c r="Y174" s="426">
        <f t="shared" si="773"/>
        <v>0.33128205128205124</v>
      </c>
      <c r="Z174" s="426"/>
      <c r="AA174" s="426">
        <f t="shared" si="773"/>
        <v>0.42479997915092127</v>
      </c>
      <c r="AB174" s="426">
        <f t="shared" si="773"/>
        <v>0.45271317829457364</v>
      </c>
      <c r="AC174" s="426"/>
      <c r="AD174" s="426">
        <f t="shared" si="773"/>
        <v>0.38067717724659794</v>
      </c>
      <c r="AE174" s="426">
        <f t="shared" si="773"/>
        <v>0.38988095238095233</v>
      </c>
      <c r="AF174" s="426"/>
      <c r="AG174" s="426">
        <f t="shared" si="773"/>
        <v>0.33394945928051206</v>
      </c>
      <c r="AH174" s="426">
        <f t="shared" si="773"/>
        <v>0.31598513011152418</v>
      </c>
      <c r="AI174" s="426"/>
      <c r="AJ174" s="426">
        <f t="shared" si="773"/>
        <v>0.46041433438060503</v>
      </c>
      <c r="AK174" s="426">
        <f t="shared" si="773"/>
        <v>0.45774647887323938</v>
      </c>
      <c r="AL174" s="426"/>
      <c r="AM174" s="426">
        <f t="shared" si="773"/>
        <v>0.32124882506216756</v>
      </c>
      <c r="AN174" s="426">
        <f t="shared" si="773"/>
        <v>0.30769230769230765</v>
      </c>
      <c r="AO174" s="555"/>
      <c r="AP174" s="503">
        <f t="shared" si="771"/>
        <v>0.39375151431257988</v>
      </c>
      <c r="AQ174" s="503">
        <f t="shared" si="772"/>
        <v>0.39936278168495548</v>
      </c>
      <c r="AR174" s="503"/>
      <c r="AS174" t="s">
        <v>365</v>
      </c>
    </row>
    <row r="175" spans="1:47" outlineLevel="1" x14ac:dyDescent="0.25">
      <c r="A175" s="444" t="s">
        <v>345</v>
      </c>
      <c r="B175" s="428">
        <f>SUM(B72:B74)</f>
        <v>0.25156788836314059</v>
      </c>
      <c r="C175" s="428">
        <f>SUM(C72:C74)</f>
        <v>0.27953890489913547</v>
      </c>
      <c r="D175" s="543"/>
      <c r="E175" s="427"/>
      <c r="F175" s="427"/>
      <c r="G175" s="427"/>
      <c r="H175" s="427"/>
      <c r="I175" s="428">
        <f t="shared" ref="I175:AN175" si="774">SUM(I72:I74)</f>
        <v>0.32384696047474826</v>
      </c>
      <c r="J175" s="428">
        <f t="shared" si="774"/>
        <v>0.33730158730158732</v>
      </c>
      <c r="K175" s="543"/>
      <c r="L175" s="428">
        <f t="shared" si="774"/>
        <v>0.25643927757207297</v>
      </c>
      <c r="M175" s="428">
        <f t="shared" si="774"/>
        <v>0.21884498480243164</v>
      </c>
      <c r="N175" s="428"/>
      <c r="O175" s="428">
        <f t="shared" si="774"/>
        <v>0.25827027147159165</v>
      </c>
      <c r="P175" s="428">
        <f t="shared" si="774"/>
        <v>0.24144869215291753</v>
      </c>
      <c r="Q175" s="428"/>
      <c r="R175" s="428">
        <f t="shared" si="774"/>
        <v>0.15040342651112404</v>
      </c>
      <c r="S175" s="428">
        <f t="shared" si="774"/>
        <v>0.14723557692307687</v>
      </c>
      <c r="T175" s="428"/>
      <c r="U175" s="428">
        <f t="shared" si="774"/>
        <v>0.28085284002591504</v>
      </c>
      <c r="V175" s="428">
        <f t="shared" si="774"/>
        <v>0.27020506634499397</v>
      </c>
      <c r="W175" s="428"/>
      <c r="X175" s="428">
        <f t="shared" si="774"/>
        <v>0.18970314998055571</v>
      </c>
      <c r="Y175" s="428">
        <f t="shared" si="774"/>
        <v>0.198974358974359</v>
      </c>
      <c r="Z175" s="428"/>
      <c r="AA175" s="428">
        <f t="shared" si="774"/>
        <v>0.2434303684205954</v>
      </c>
      <c r="AB175" s="428">
        <f t="shared" si="774"/>
        <v>0.23875968992248064</v>
      </c>
      <c r="AC175" s="428"/>
      <c r="AD175" s="428">
        <f t="shared" si="774"/>
        <v>0.17597669795182391</v>
      </c>
      <c r="AE175" s="428">
        <f t="shared" si="774"/>
        <v>0.17500000000000004</v>
      </c>
      <c r="AF175" s="428"/>
      <c r="AG175" s="428">
        <f t="shared" si="774"/>
        <v>0.30305120282498343</v>
      </c>
      <c r="AH175" s="428">
        <f t="shared" si="774"/>
        <v>0.30855018587360594</v>
      </c>
      <c r="AI175" s="428"/>
      <c r="AJ175" s="428">
        <f t="shared" si="774"/>
        <v>0.27680473800151673</v>
      </c>
      <c r="AK175" s="428">
        <f t="shared" si="774"/>
        <v>0.27728873239436624</v>
      </c>
      <c r="AL175" s="428"/>
      <c r="AM175" s="428">
        <f t="shared" si="774"/>
        <v>0.21066784061299038</v>
      </c>
      <c r="AN175" s="428">
        <f t="shared" si="774"/>
        <v>0.22904062229904931</v>
      </c>
      <c r="AO175" s="540"/>
      <c r="AP175" s="503">
        <f t="shared" si="771"/>
        <v>0.2463951655998243</v>
      </c>
      <c r="AQ175" s="503">
        <f t="shared" si="772"/>
        <v>0.24483161632626854</v>
      </c>
      <c r="AR175" s="503"/>
      <c r="AS175" t="s">
        <v>364</v>
      </c>
    </row>
    <row r="176" spans="1:47" outlineLevel="1" x14ac:dyDescent="0.25">
      <c r="AM176" s="724" t="s">
        <v>350</v>
      </c>
      <c r="AN176" s="724"/>
      <c r="AO176" s="558"/>
    </row>
    <row r="177" spans="1:45" outlineLevel="1" x14ac:dyDescent="0.25">
      <c r="A177" s="443" t="s">
        <v>31</v>
      </c>
      <c r="B177" s="441" t="s">
        <v>70</v>
      </c>
      <c r="C177" s="433" t="s">
        <v>71</v>
      </c>
      <c r="D177" s="542"/>
      <c r="E177" s="435" t="s">
        <v>52</v>
      </c>
      <c r="F177" s="436" t="s">
        <v>53</v>
      </c>
      <c r="G177" s="437" t="s">
        <v>48</v>
      </c>
      <c r="H177" s="438" t="s">
        <v>49</v>
      </c>
      <c r="I177" s="435" t="s">
        <v>50</v>
      </c>
      <c r="J177" s="436" t="s">
        <v>51</v>
      </c>
      <c r="K177" s="542"/>
      <c r="L177" s="439" t="s">
        <v>136</v>
      </c>
      <c r="M177" s="442" t="s">
        <v>137</v>
      </c>
      <c r="N177" s="442"/>
      <c r="O177" s="441" t="s">
        <v>72</v>
      </c>
      <c r="P177" s="433" t="s">
        <v>73</v>
      </c>
      <c r="Q177" s="433"/>
      <c r="R177" s="437" t="s">
        <v>87</v>
      </c>
      <c r="S177" s="438" t="s">
        <v>88</v>
      </c>
      <c r="T177" s="438"/>
      <c r="U177" s="434" t="s">
        <v>94</v>
      </c>
      <c r="V177" s="434" t="s">
        <v>95</v>
      </c>
      <c r="W177" s="434"/>
      <c r="X177" s="434" t="s">
        <v>110</v>
      </c>
      <c r="Y177" s="434" t="s">
        <v>113</v>
      </c>
      <c r="Z177" s="434"/>
      <c r="AA177" s="439" t="s">
        <v>132</v>
      </c>
      <c r="AB177" s="442" t="s">
        <v>133</v>
      </c>
      <c r="AC177" s="442"/>
      <c r="AD177" s="437" t="s">
        <v>134</v>
      </c>
      <c r="AE177" s="438" t="s">
        <v>135</v>
      </c>
      <c r="AF177" s="438"/>
      <c r="AG177" s="439" t="s">
        <v>154</v>
      </c>
      <c r="AH177" s="442" t="s">
        <v>153</v>
      </c>
      <c r="AI177" s="442"/>
      <c r="AJ177" s="434" t="s">
        <v>169</v>
      </c>
      <c r="AK177" s="434" t="s">
        <v>170</v>
      </c>
      <c r="AL177" s="434"/>
      <c r="AM177" s="434" t="s">
        <v>199</v>
      </c>
      <c r="AN177" s="434" t="s">
        <v>200</v>
      </c>
      <c r="AO177" s="559"/>
      <c r="AP177" s="712" t="s">
        <v>351</v>
      </c>
      <c r="AQ177" s="712"/>
      <c r="AR177" s="512"/>
    </row>
    <row r="178" spans="1:45" outlineLevel="1" x14ac:dyDescent="0.25">
      <c r="A178" s="444" t="s">
        <v>344</v>
      </c>
      <c r="B178" s="428">
        <f t="shared" ref="B178:AQ178" si="775">SUM(B54:B56)</f>
        <v>0.2834870478787393</v>
      </c>
      <c r="C178" s="428">
        <f t="shared" si="775"/>
        <v>0.25936599423631124</v>
      </c>
      <c r="D178" s="543"/>
      <c r="E178" s="427">
        <f t="shared" si="775"/>
        <v>0</v>
      </c>
      <c r="F178" s="427">
        <f t="shared" si="775"/>
        <v>0</v>
      </c>
      <c r="G178" s="427">
        <f t="shared" si="775"/>
        <v>0</v>
      </c>
      <c r="H178" s="427">
        <f t="shared" si="775"/>
        <v>0</v>
      </c>
      <c r="I178" s="428">
        <f t="shared" si="775"/>
        <v>0.31576264931078318</v>
      </c>
      <c r="J178" s="428">
        <f t="shared" si="775"/>
        <v>0.29629629629629628</v>
      </c>
      <c r="K178" s="543"/>
      <c r="L178" s="428">
        <f t="shared" si="775"/>
        <v>0.36600805212864002</v>
      </c>
      <c r="M178" s="428">
        <f t="shared" si="775"/>
        <v>0.37689969604863222</v>
      </c>
      <c r="N178" s="428"/>
      <c r="O178" s="428">
        <f t="shared" si="775"/>
        <v>0.30748630418597417</v>
      </c>
      <c r="P178" s="428">
        <f t="shared" si="775"/>
        <v>0.32595573440643866</v>
      </c>
      <c r="Q178" s="428"/>
      <c r="R178" s="428">
        <f t="shared" si="775"/>
        <v>0.51246669483053575</v>
      </c>
      <c r="S178" s="428">
        <f t="shared" si="775"/>
        <v>0.51201923076923073</v>
      </c>
      <c r="T178" s="428"/>
      <c r="U178" s="428">
        <f t="shared" si="775"/>
        <v>0.29486539293789871</v>
      </c>
      <c r="V178" s="428">
        <f t="shared" si="775"/>
        <v>0.28950542822677927</v>
      </c>
      <c r="W178" s="428"/>
      <c r="X178" s="428">
        <f t="shared" si="775"/>
        <v>0.47741433694853735</v>
      </c>
      <c r="Y178" s="428">
        <f t="shared" si="775"/>
        <v>0.46974358974358976</v>
      </c>
      <c r="Z178" s="428"/>
      <c r="AA178" s="428">
        <f t="shared" si="775"/>
        <v>0.33176965242848333</v>
      </c>
      <c r="AB178" s="428">
        <f t="shared" si="775"/>
        <v>0.30852713178294572</v>
      </c>
      <c r="AC178" s="428"/>
      <c r="AD178" s="428">
        <f t="shared" si="775"/>
        <v>0.44334612480157815</v>
      </c>
      <c r="AE178" s="428">
        <f t="shared" si="775"/>
        <v>0.43511904761904763</v>
      </c>
      <c r="AF178" s="428"/>
      <c r="AG178" s="428">
        <f t="shared" si="775"/>
        <v>0.3629993378945045</v>
      </c>
      <c r="AH178" s="428">
        <f t="shared" si="775"/>
        <v>0.37546468401486988</v>
      </c>
      <c r="AI178" s="428"/>
      <c r="AJ178" s="428">
        <f t="shared" si="775"/>
        <v>0.26278092761787825</v>
      </c>
      <c r="AK178" s="428">
        <f t="shared" si="775"/>
        <v>0.26496478873239437</v>
      </c>
      <c r="AL178" s="428"/>
      <c r="AM178" s="428">
        <f t="shared" si="775"/>
        <v>0.46808333432484206</v>
      </c>
      <c r="AN178" s="428">
        <f t="shared" si="775"/>
        <v>0.46326707000864303</v>
      </c>
      <c r="AO178" s="540"/>
      <c r="AP178" s="503">
        <f t="shared" si="775"/>
        <v>0.35985332008759569</v>
      </c>
      <c r="AQ178" s="503">
        <f t="shared" si="775"/>
        <v>0.35580560198877598</v>
      </c>
      <c r="AR178" s="503"/>
      <c r="AS178" t="s">
        <v>363</v>
      </c>
    </row>
    <row r="179" spans="1:45" outlineLevel="1" x14ac:dyDescent="0.25">
      <c r="A179" s="445" t="s">
        <v>355</v>
      </c>
      <c r="B179" s="426">
        <f t="shared" ref="B179:AQ179" si="776">SUM(B57:B68)</f>
        <v>0.36453604940251821</v>
      </c>
      <c r="C179" s="426">
        <f t="shared" si="776"/>
        <v>0.35734870317002887</v>
      </c>
      <c r="D179" s="544"/>
      <c r="E179" s="427">
        <f t="shared" si="776"/>
        <v>0</v>
      </c>
      <c r="F179" s="427">
        <f t="shared" si="776"/>
        <v>0</v>
      </c>
      <c r="G179" s="427">
        <f t="shared" si="776"/>
        <v>0</v>
      </c>
      <c r="H179" s="427">
        <f t="shared" si="776"/>
        <v>0</v>
      </c>
      <c r="I179" s="426">
        <f t="shared" si="776"/>
        <v>0.25521233033198404</v>
      </c>
      <c r="J179" s="426">
        <f t="shared" si="776"/>
        <v>0.26190476190476197</v>
      </c>
      <c r="K179" s="544"/>
      <c r="L179" s="426">
        <f t="shared" si="776"/>
        <v>0.25662522030171225</v>
      </c>
      <c r="M179" s="426">
        <f t="shared" si="776"/>
        <v>0.27203647416413373</v>
      </c>
      <c r="N179" s="426"/>
      <c r="O179" s="426">
        <f t="shared" si="776"/>
        <v>0.3498460957206832</v>
      </c>
      <c r="P179" s="426">
        <f t="shared" si="776"/>
        <v>0.352112676056338</v>
      </c>
      <c r="Q179" s="426"/>
      <c r="R179" s="426">
        <f t="shared" si="776"/>
        <v>0.27503273004094919</v>
      </c>
      <c r="S179" s="426">
        <f t="shared" si="776"/>
        <v>0.27704326923076927</v>
      </c>
      <c r="T179" s="426"/>
      <c r="U179" s="426">
        <f t="shared" si="776"/>
        <v>0.34276722312276087</v>
      </c>
      <c r="V179" s="426">
        <f t="shared" si="776"/>
        <v>0.37153196622436668</v>
      </c>
      <c r="W179" s="426"/>
      <c r="X179" s="426">
        <f t="shared" si="776"/>
        <v>0.23620101110486974</v>
      </c>
      <c r="Y179" s="426">
        <f t="shared" si="776"/>
        <v>0.23794871794871797</v>
      </c>
      <c r="Z179" s="426"/>
      <c r="AA179" s="426">
        <f t="shared" si="776"/>
        <v>0.32142329710805906</v>
      </c>
      <c r="AB179" s="426">
        <f t="shared" si="776"/>
        <v>0.33488372093023261</v>
      </c>
      <c r="AC179" s="426"/>
      <c r="AD179" s="426">
        <f t="shared" si="776"/>
        <v>0.30478215975465034</v>
      </c>
      <c r="AE179" s="426">
        <f t="shared" si="776"/>
        <v>0.31309523809523809</v>
      </c>
      <c r="AF179" s="426"/>
      <c r="AG179" s="426">
        <f t="shared" si="776"/>
        <v>0.25835908188037965</v>
      </c>
      <c r="AH179" s="426">
        <f t="shared" si="776"/>
        <v>0.23420074349442377</v>
      </c>
      <c r="AI179" s="426"/>
      <c r="AJ179" s="426">
        <f t="shared" si="776"/>
        <v>0.37848237895184561</v>
      </c>
      <c r="AK179" s="426">
        <f t="shared" si="776"/>
        <v>0.375</v>
      </c>
      <c r="AL179" s="426"/>
      <c r="AM179" s="426">
        <f t="shared" si="776"/>
        <v>0.25011005746784531</v>
      </c>
      <c r="AN179" s="426">
        <f t="shared" si="776"/>
        <v>0.24978392394122734</v>
      </c>
      <c r="AO179" s="555"/>
      <c r="AP179" s="503">
        <f t="shared" si="776"/>
        <v>0.30393341615640107</v>
      </c>
      <c r="AQ179" s="503">
        <f t="shared" si="776"/>
        <v>0.30791875192900103</v>
      </c>
      <c r="AR179" s="503"/>
      <c r="AS179" t="s">
        <v>366</v>
      </c>
    </row>
    <row r="180" spans="1:45" outlineLevel="1" x14ac:dyDescent="0.25">
      <c r="A180" s="444" t="s">
        <v>356</v>
      </c>
      <c r="B180" s="428">
        <f t="shared" ref="B180:AQ180" si="777">SUM(B69:B74)</f>
        <v>0.35197690271874249</v>
      </c>
      <c r="C180" s="428">
        <f t="shared" si="777"/>
        <v>0.38328530259365989</v>
      </c>
      <c r="D180" s="543"/>
      <c r="E180" s="427">
        <f t="shared" si="777"/>
        <v>0</v>
      </c>
      <c r="F180" s="427">
        <f t="shared" si="777"/>
        <v>0</v>
      </c>
      <c r="G180" s="427">
        <f t="shared" si="777"/>
        <v>0</v>
      </c>
      <c r="H180" s="427">
        <f t="shared" si="777"/>
        <v>0</v>
      </c>
      <c r="I180" s="428">
        <f t="shared" si="777"/>
        <v>0.42902502035723278</v>
      </c>
      <c r="J180" s="428">
        <f t="shared" si="777"/>
        <v>0.44179894179894175</v>
      </c>
      <c r="K180" s="543"/>
      <c r="L180" s="428">
        <f t="shared" si="777"/>
        <v>0.37736672756964773</v>
      </c>
      <c r="M180" s="428">
        <f t="shared" si="777"/>
        <v>0.35106382978723405</v>
      </c>
      <c r="N180" s="428"/>
      <c r="O180" s="428">
        <f t="shared" si="777"/>
        <v>0.34266760009334263</v>
      </c>
      <c r="P180" s="428">
        <f t="shared" si="777"/>
        <v>0.32193158953722334</v>
      </c>
      <c r="Q180" s="428"/>
      <c r="R180" s="428">
        <f t="shared" si="777"/>
        <v>0.21250057512851506</v>
      </c>
      <c r="S180" s="428">
        <f t="shared" si="777"/>
        <v>0.2109375</v>
      </c>
      <c r="T180" s="428"/>
      <c r="U180" s="428">
        <f t="shared" si="777"/>
        <v>0.36236738393934043</v>
      </c>
      <c r="V180" s="428">
        <f t="shared" si="777"/>
        <v>0.33896260554885405</v>
      </c>
      <c r="W180" s="428"/>
      <c r="X180" s="428">
        <f t="shared" si="777"/>
        <v>0.28638465194659291</v>
      </c>
      <c r="Y180" s="428">
        <f t="shared" si="777"/>
        <v>0.29230769230769227</v>
      </c>
      <c r="Z180" s="428"/>
      <c r="AA180" s="428">
        <f t="shared" si="777"/>
        <v>0.34680705046345761</v>
      </c>
      <c r="AB180" s="428">
        <f t="shared" si="777"/>
        <v>0.35658914728682167</v>
      </c>
      <c r="AC180" s="428"/>
      <c r="AD180" s="428">
        <f t="shared" si="777"/>
        <v>0.25187171544377152</v>
      </c>
      <c r="AE180" s="428">
        <f t="shared" si="777"/>
        <v>0.25178571428571428</v>
      </c>
      <c r="AF180" s="428"/>
      <c r="AG180" s="428">
        <f t="shared" si="777"/>
        <v>0.37864158022511585</v>
      </c>
      <c r="AH180" s="428">
        <f t="shared" si="777"/>
        <v>0.39033457249070636</v>
      </c>
      <c r="AI180" s="428"/>
      <c r="AJ180" s="428">
        <f t="shared" si="777"/>
        <v>0.35873669343027614</v>
      </c>
      <c r="AK180" s="428">
        <f t="shared" si="777"/>
        <v>0.36003521126760563</v>
      </c>
      <c r="AL180" s="428"/>
      <c r="AM180" s="428">
        <f t="shared" si="777"/>
        <v>0.28180660820731263</v>
      </c>
      <c r="AN180" s="428">
        <f t="shared" si="777"/>
        <v>0.28694900605012963</v>
      </c>
      <c r="AO180" s="540"/>
      <c r="AP180" s="503">
        <f t="shared" si="777"/>
        <v>0.33621326375600319</v>
      </c>
      <c r="AQ180" s="503">
        <f t="shared" si="777"/>
        <v>0.33627564608222299</v>
      </c>
      <c r="AR180" s="503"/>
      <c r="AS180" t="s">
        <v>359</v>
      </c>
    </row>
    <row r="181" spans="1:45" outlineLevel="1" x14ac:dyDescent="0.25">
      <c r="AM181" s="724" t="s">
        <v>350</v>
      </c>
      <c r="AN181" s="724"/>
      <c r="AO181" s="558"/>
    </row>
    <row r="182" spans="1:45" outlineLevel="1" x14ac:dyDescent="0.25">
      <c r="A182" s="443" t="s">
        <v>31</v>
      </c>
      <c r="B182" s="441" t="s">
        <v>70</v>
      </c>
      <c r="C182" s="433" t="s">
        <v>71</v>
      </c>
      <c r="D182" s="542"/>
      <c r="E182" s="435" t="s">
        <v>52</v>
      </c>
      <c r="F182" s="436" t="s">
        <v>53</v>
      </c>
      <c r="G182" s="437" t="s">
        <v>48</v>
      </c>
      <c r="H182" s="438" t="s">
        <v>49</v>
      </c>
      <c r="I182" s="435" t="s">
        <v>50</v>
      </c>
      <c r="J182" s="436" t="s">
        <v>51</v>
      </c>
      <c r="K182" s="542"/>
      <c r="L182" s="439" t="s">
        <v>136</v>
      </c>
      <c r="M182" s="442" t="s">
        <v>137</v>
      </c>
      <c r="N182" s="442"/>
      <c r="O182" s="441" t="s">
        <v>72</v>
      </c>
      <c r="P182" s="433" t="s">
        <v>73</v>
      </c>
      <c r="Q182" s="433"/>
      <c r="R182" s="437" t="s">
        <v>87</v>
      </c>
      <c r="S182" s="438" t="s">
        <v>88</v>
      </c>
      <c r="T182" s="438"/>
      <c r="U182" s="434" t="s">
        <v>94</v>
      </c>
      <c r="V182" s="434" t="s">
        <v>95</v>
      </c>
      <c r="W182" s="434"/>
      <c r="X182" s="434" t="s">
        <v>110</v>
      </c>
      <c r="Y182" s="434" t="s">
        <v>113</v>
      </c>
      <c r="Z182" s="434"/>
      <c r="AA182" s="439" t="s">
        <v>132</v>
      </c>
      <c r="AB182" s="442" t="s">
        <v>133</v>
      </c>
      <c r="AC182" s="442"/>
      <c r="AD182" s="437" t="s">
        <v>134</v>
      </c>
      <c r="AE182" s="438" t="s">
        <v>135</v>
      </c>
      <c r="AF182" s="438"/>
      <c r="AG182" s="439" t="s">
        <v>154</v>
      </c>
      <c r="AH182" s="442" t="s">
        <v>153</v>
      </c>
      <c r="AI182" s="442"/>
      <c r="AJ182" s="434" t="s">
        <v>169</v>
      </c>
      <c r="AK182" s="434" t="s">
        <v>170</v>
      </c>
      <c r="AL182" s="434"/>
      <c r="AM182" s="434" t="s">
        <v>199</v>
      </c>
      <c r="AN182" s="434" t="s">
        <v>200</v>
      </c>
      <c r="AO182" s="559"/>
      <c r="AP182" s="712" t="s">
        <v>351</v>
      </c>
      <c r="AQ182" s="712"/>
      <c r="AR182" s="512"/>
    </row>
    <row r="183" spans="1:45" outlineLevel="1" x14ac:dyDescent="0.25">
      <c r="A183" s="444" t="s">
        <v>352</v>
      </c>
      <c r="B183" s="428">
        <f>SUM(B54:B57)</f>
        <v>0.30284706071056222</v>
      </c>
      <c r="C183" s="428">
        <f>SUM(C54:C57)</f>
        <v>0.2737752161383285</v>
      </c>
      <c r="D183" s="543"/>
      <c r="E183" s="427"/>
      <c r="F183" s="427"/>
      <c r="G183" s="427"/>
      <c r="H183" s="427"/>
      <c r="I183" s="428">
        <f t="shared" ref="I183:AN183" si="778">SUM(I54:I57)</f>
        <v>0.35127503646727321</v>
      </c>
      <c r="J183" s="428">
        <f t="shared" si="778"/>
        <v>0.32671957671957674</v>
      </c>
      <c r="K183" s="543"/>
      <c r="L183" s="428">
        <f t="shared" si="778"/>
        <v>0.38770676023089234</v>
      </c>
      <c r="M183" s="428">
        <f t="shared" si="778"/>
        <v>0.40121580547112462</v>
      </c>
      <c r="N183" s="428"/>
      <c r="O183" s="428">
        <f t="shared" si="778"/>
        <v>0.33696703003633699</v>
      </c>
      <c r="P183" s="428">
        <f t="shared" si="778"/>
        <v>0.35814889336016098</v>
      </c>
      <c r="Q183" s="428"/>
      <c r="R183" s="428">
        <f t="shared" si="778"/>
        <v>0.53373599300643726</v>
      </c>
      <c r="S183" s="428">
        <f t="shared" si="778"/>
        <v>0.53545673076923073</v>
      </c>
      <c r="T183" s="428"/>
      <c r="U183" s="428">
        <f t="shared" si="778"/>
        <v>0.31711083284038444</v>
      </c>
      <c r="V183" s="428">
        <f t="shared" si="778"/>
        <v>0.31363088057901084</v>
      </c>
      <c r="W183" s="428"/>
      <c r="X183" s="428">
        <f t="shared" si="778"/>
        <v>0.50695674718057293</v>
      </c>
      <c r="Y183" s="428">
        <f t="shared" si="778"/>
        <v>0.49846153846153846</v>
      </c>
      <c r="Z183" s="428"/>
      <c r="AA183" s="428">
        <f t="shared" si="778"/>
        <v>0.36135796999470088</v>
      </c>
      <c r="AB183" s="428">
        <f t="shared" si="778"/>
        <v>0.33798449612403103</v>
      </c>
      <c r="AC183" s="428"/>
      <c r="AD183" s="428">
        <f t="shared" si="778"/>
        <v>0.48342194892659546</v>
      </c>
      <c r="AE183" s="428">
        <f t="shared" si="778"/>
        <v>0.47440476190476188</v>
      </c>
      <c r="AF183" s="428"/>
      <c r="AG183" s="428">
        <f t="shared" si="778"/>
        <v>0.39271132200397263</v>
      </c>
      <c r="AH183" s="428">
        <f t="shared" si="778"/>
        <v>0.40892193308550184</v>
      </c>
      <c r="AI183" s="428"/>
      <c r="AJ183" s="428">
        <f t="shared" si="778"/>
        <v>0.28021138035222032</v>
      </c>
      <c r="AK183" s="428">
        <f t="shared" si="778"/>
        <v>0.28433098591549294</v>
      </c>
      <c r="AL183" s="428"/>
      <c r="AM183" s="428">
        <f t="shared" si="778"/>
        <v>0.51466441395885631</v>
      </c>
      <c r="AN183" s="428">
        <f t="shared" si="778"/>
        <v>0.5056179775280899</v>
      </c>
      <c r="AO183" s="540"/>
      <c r="AP183" s="503">
        <f t="shared" ref="AP183:AP185" si="779">AVERAGE(B183,I183,L183,O183,R183,U183,X183,AA183,AD183,AG183,AJ183)</f>
        <v>0.38675473470454075</v>
      </c>
      <c r="AQ183" s="503">
        <f t="shared" ref="AQ183:AQ185" si="780">AVERAGE(C183,J183,M183,P183,S183,V183,Y183,AB183,AE183,AH183,AK183)</f>
        <v>0.38300461986625078</v>
      </c>
      <c r="AR183" s="503"/>
      <c r="AS183" t="s">
        <v>367</v>
      </c>
    </row>
    <row r="184" spans="1:45" outlineLevel="1" x14ac:dyDescent="0.25">
      <c r="A184" s="445" t="s">
        <v>353</v>
      </c>
      <c r="B184" s="426">
        <f>SUM(B58:B69)</f>
        <v>0.3752666613200738</v>
      </c>
      <c r="C184" s="426">
        <f>SUM(C58:C69)</f>
        <v>0.37175792507204614</v>
      </c>
      <c r="D184" s="544"/>
      <c r="E184" s="427"/>
      <c r="F184" s="427"/>
      <c r="G184" s="427"/>
      <c r="H184" s="427"/>
      <c r="I184" s="426">
        <f t="shared" ref="I184:AN184" si="781">SUM(I58:I69)</f>
        <v>0.25476710739831632</v>
      </c>
      <c r="J184" s="426">
        <f t="shared" si="781"/>
        <v>0.26190476190476186</v>
      </c>
      <c r="K184" s="544"/>
      <c r="L184" s="426">
        <f t="shared" si="781"/>
        <v>0.25944669911232565</v>
      </c>
      <c r="M184" s="426">
        <f t="shared" si="781"/>
        <v>0.27355623100303955</v>
      </c>
      <c r="N184" s="426"/>
      <c r="O184" s="426">
        <f t="shared" si="781"/>
        <v>0.35023502350235025</v>
      </c>
      <c r="P184" s="426">
        <f t="shared" si="781"/>
        <v>0.34406438631790748</v>
      </c>
      <c r="Q184" s="426"/>
      <c r="R184" s="426">
        <f t="shared" si="781"/>
        <v>0.27463955127427564</v>
      </c>
      <c r="S184" s="426">
        <f t="shared" si="781"/>
        <v>0.27584134615384615</v>
      </c>
      <c r="T184" s="426"/>
      <c r="U184" s="426">
        <f t="shared" si="781"/>
        <v>0.34271344687803296</v>
      </c>
      <c r="V184" s="426">
        <f t="shared" si="781"/>
        <v>0.3703256936067551</v>
      </c>
      <c r="W184" s="426"/>
      <c r="X184" s="426">
        <f t="shared" si="781"/>
        <v>0.24524046147863288</v>
      </c>
      <c r="Y184" s="426">
        <f t="shared" si="781"/>
        <v>0.2492307692307692</v>
      </c>
      <c r="Z184" s="426"/>
      <c r="AA184" s="426">
        <f t="shared" si="781"/>
        <v>0.322040082353861</v>
      </c>
      <c r="AB184" s="426">
        <f t="shared" si="781"/>
        <v>0.3410852713178294</v>
      </c>
      <c r="AC184" s="426"/>
      <c r="AD184" s="426">
        <f t="shared" si="781"/>
        <v>0.29078860172299542</v>
      </c>
      <c r="AE184" s="426">
        <f t="shared" si="781"/>
        <v>0.30000000000000004</v>
      </c>
      <c r="AF184" s="426"/>
      <c r="AG184" s="426">
        <f t="shared" si="781"/>
        <v>0.25568307216949904</v>
      </c>
      <c r="AH184" s="426">
        <f t="shared" si="781"/>
        <v>0.23048327137546465</v>
      </c>
      <c r="AI184" s="426"/>
      <c r="AJ184" s="426">
        <f t="shared" si="781"/>
        <v>0.39023910697017489</v>
      </c>
      <c r="AK184" s="426">
        <f t="shared" si="781"/>
        <v>0.38292253521126768</v>
      </c>
      <c r="AL184" s="426"/>
      <c r="AM184" s="426">
        <f t="shared" si="781"/>
        <v>0.2154032862564994</v>
      </c>
      <c r="AN184" s="426">
        <f t="shared" si="781"/>
        <v>0.21694036300777875</v>
      </c>
      <c r="AO184" s="555"/>
      <c r="AP184" s="503">
        <f t="shared" si="779"/>
        <v>0.30555089219823073</v>
      </c>
      <c r="AQ184" s="503">
        <f t="shared" si="780"/>
        <v>0.30919747192669883</v>
      </c>
      <c r="AR184" s="503"/>
      <c r="AS184" t="s">
        <v>360</v>
      </c>
    </row>
    <row r="185" spans="1:45" outlineLevel="1" x14ac:dyDescent="0.25">
      <c r="A185" s="444" t="s">
        <v>354</v>
      </c>
      <c r="B185" s="428">
        <f>SUM(B70:B74)</f>
        <v>0.32188627796936398</v>
      </c>
      <c r="C185" s="428">
        <f>SUM(C70:C74)</f>
        <v>0.35446685878962536</v>
      </c>
      <c r="D185" s="543"/>
      <c r="E185" s="427"/>
      <c r="F185" s="427"/>
      <c r="G185" s="427"/>
      <c r="H185" s="427"/>
      <c r="I185" s="428">
        <f t="shared" ref="I185:AN185" si="782">SUM(I70:I74)</f>
        <v>0.39395785613441048</v>
      </c>
      <c r="J185" s="428">
        <f t="shared" si="782"/>
        <v>0.41137566137566139</v>
      </c>
      <c r="K185" s="543"/>
      <c r="L185" s="428">
        <f t="shared" si="782"/>
        <v>0.352846540656782</v>
      </c>
      <c r="M185" s="428">
        <f t="shared" si="782"/>
        <v>0.32522796352583583</v>
      </c>
      <c r="N185" s="428"/>
      <c r="O185" s="428">
        <f t="shared" si="782"/>
        <v>0.31279794646131276</v>
      </c>
      <c r="P185" s="428">
        <f t="shared" si="782"/>
        <v>0.29778672032193154</v>
      </c>
      <c r="Q185" s="428"/>
      <c r="R185" s="428">
        <f t="shared" si="782"/>
        <v>0.1916244557192871</v>
      </c>
      <c r="S185" s="428">
        <f t="shared" si="782"/>
        <v>0.18870192307692313</v>
      </c>
      <c r="T185" s="428"/>
      <c r="U185" s="428">
        <f t="shared" si="782"/>
        <v>0.34017572028158261</v>
      </c>
      <c r="V185" s="428">
        <f t="shared" si="782"/>
        <v>0.31604342581423406</v>
      </c>
      <c r="W185" s="428"/>
      <c r="X185" s="428">
        <f t="shared" si="782"/>
        <v>0.24780279134079419</v>
      </c>
      <c r="Y185" s="428">
        <f t="shared" si="782"/>
        <v>0.25230769230769234</v>
      </c>
      <c r="Z185" s="428"/>
      <c r="AA185" s="428">
        <f t="shared" si="782"/>
        <v>0.31660194765143812</v>
      </c>
      <c r="AB185" s="428">
        <f t="shared" si="782"/>
        <v>0.32093023255813957</v>
      </c>
      <c r="AC185" s="428"/>
      <c r="AD185" s="428">
        <f t="shared" si="782"/>
        <v>0.22578944935040912</v>
      </c>
      <c r="AE185" s="428">
        <f t="shared" si="782"/>
        <v>0.22559523809523807</v>
      </c>
      <c r="AF185" s="428"/>
      <c r="AG185" s="428">
        <f t="shared" si="782"/>
        <v>0.35160560582652833</v>
      </c>
      <c r="AH185" s="428">
        <f t="shared" si="782"/>
        <v>0.36059479553903351</v>
      </c>
      <c r="AI185" s="428"/>
      <c r="AJ185" s="428">
        <f t="shared" si="782"/>
        <v>0.32954951267760479</v>
      </c>
      <c r="AK185" s="428">
        <f t="shared" si="782"/>
        <v>0.33274647887323938</v>
      </c>
      <c r="AL185" s="428"/>
      <c r="AM185" s="428">
        <f t="shared" si="782"/>
        <v>0.26993229978464428</v>
      </c>
      <c r="AN185" s="428">
        <f t="shared" si="782"/>
        <v>0.27744165946413135</v>
      </c>
      <c r="AO185" s="540"/>
      <c r="AP185" s="503">
        <f t="shared" si="779"/>
        <v>0.30769437309722852</v>
      </c>
      <c r="AQ185" s="503">
        <f t="shared" si="780"/>
        <v>0.30779790820705039</v>
      </c>
      <c r="AR185" s="503"/>
      <c r="AS185" t="s">
        <v>368</v>
      </c>
    </row>
    <row r="186" spans="1:45" outlineLevel="1" x14ac:dyDescent="0.25">
      <c r="AM186" s="724" t="s">
        <v>350</v>
      </c>
      <c r="AN186" s="724"/>
      <c r="AO186" s="558"/>
    </row>
    <row r="187" spans="1:45" outlineLevel="1" x14ac:dyDescent="0.25">
      <c r="A187" s="443" t="s">
        <v>31</v>
      </c>
      <c r="B187" s="441" t="s">
        <v>70</v>
      </c>
      <c r="C187" s="433" t="s">
        <v>71</v>
      </c>
      <c r="D187" s="542"/>
      <c r="E187" s="435" t="s">
        <v>52</v>
      </c>
      <c r="F187" s="436" t="s">
        <v>53</v>
      </c>
      <c r="G187" s="437" t="s">
        <v>48</v>
      </c>
      <c r="H187" s="438" t="s">
        <v>49</v>
      </c>
      <c r="I187" s="435" t="s">
        <v>50</v>
      </c>
      <c r="J187" s="436" t="s">
        <v>51</v>
      </c>
      <c r="K187" s="542"/>
      <c r="L187" s="439" t="s">
        <v>136</v>
      </c>
      <c r="M187" s="442" t="s">
        <v>137</v>
      </c>
      <c r="N187" s="442"/>
      <c r="O187" s="441" t="s">
        <v>72</v>
      </c>
      <c r="P187" s="433" t="s">
        <v>73</v>
      </c>
      <c r="Q187" s="433"/>
      <c r="R187" s="437" t="s">
        <v>87</v>
      </c>
      <c r="S187" s="438" t="s">
        <v>88</v>
      </c>
      <c r="T187" s="438"/>
      <c r="U187" s="434" t="s">
        <v>94</v>
      </c>
      <c r="V187" s="434" t="s">
        <v>95</v>
      </c>
      <c r="W187" s="434"/>
      <c r="X187" s="434" t="s">
        <v>110</v>
      </c>
      <c r="Y187" s="434" t="s">
        <v>113</v>
      </c>
      <c r="Z187" s="434"/>
      <c r="AA187" s="439" t="s">
        <v>132</v>
      </c>
      <c r="AB187" s="442" t="s">
        <v>133</v>
      </c>
      <c r="AC187" s="442"/>
      <c r="AD187" s="437" t="s">
        <v>134</v>
      </c>
      <c r="AE187" s="438" t="s">
        <v>135</v>
      </c>
      <c r="AF187" s="438"/>
      <c r="AG187" s="439" t="s">
        <v>154</v>
      </c>
      <c r="AH187" s="442" t="s">
        <v>153</v>
      </c>
      <c r="AI187" s="442"/>
      <c r="AJ187" s="434" t="s">
        <v>169</v>
      </c>
      <c r="AK187" s="434" t="s">
        <v>170</v>
      </c>
      <c r="AL187" s="434"/>
      <c r="AM187" s="434" t="s">
        <v>199</v>
      </c>
      <c r="AN187" s="434" t="s">
        <v>200</v>
      </c>
      <c r="AO187" s="559"/>
      <c r="AP187" s="712" t="s">
        <v>351</v>
      </c>
      <c r="AQ187" s="712"/>
      <c r="AR187" s="512"/>
    </row>
    <row r="188" spans="1:45" outlineLevel="1" x14ac:dyDescent="0.25">
      <c r="A188" s="444" t="s">
        <v>341</v>
      </c>
      <c r="B188" s="428">
        <f>SUM(B54:B60)</f>
        <v>0.38784184778250058</v>
      </c>
      <c r="C188" s="428">
        <f>SUM(C54:C60)</f>
        <v>0.35734870317002881</v>
      </c>
      <c r="D188" s="543"/>
      <c r="E188" s="427"/>
      <c r="F188" s="427"/>
      <c r="G188" s="427"/>
      <c r="H188" s="427"/>
      <c r="I188" s="428">
        <f t="shared" ref="I188:AN188" si="783">SUM(I54:I60)</f>
        <v>0.40786521461502862</v>
      </c>
      <c r="J188" s="428">
        <f t="shared" si="783"/>
        <v>0.39021164021164023</v>
      </c>
      <c r="K188" s="543"/>
      <c r="L188" s="428">
        <f t="shared" si="783"/>
        <v>0.45257651947547983</v>
      </c>
      <c r="M188" s="428">
        <f t="shared" si="783"/>
        <v>0.46808510638297873</v>
      </c>
      <c r="N188" s="428"/>
      <c r="O188" s="428">
        <f t="shared" si="783"/>
        <v>0.44696691891411361</v>
      </c>
      <c r="P188" s="428">
        <f t="shared" si="783"/>
        <v>0.47484909456740443</v>
      </c>
      <c r="Q188" s="428"/>
      <c r="R188" s="428">
        <f t="shared" si="783"/>
        <v>0.61610694462453519</v>
      </c>
      <c r="S188" s="428">
        <f t="shared" si="783"/>
        <v>0.62740384615384615</v>
      </c>
      <c r="T188" s="428"/>
      <c r="U188" s="428">
        <f t="shared" si="783"/>
        <v>0.42122420340736527</v>
      </c>
      <c r="V188" s="428">
        <f t="shared" si="783"/>
        <v>0.42762364294330518</v>
      </c>
      <c r="W188" s="428"/>
      <c r="X188" s="428">
        <f t="shared" si="783"/>
        <v>0.54752192887698226</v>
      </c>
      <c r="Y188" s="428">
        <f t="shared" si="783"/>
        <v>0.53641025641025641</v>
      </c>
      <c r="Z188" s="428"/>
      <c r="AA188" s="428">
        <f t="shared" si="783"/>
        <v>0.43452086210940555</v>
      </c>
      <c r="AB188" s="428">
        <f t="shared" si="783"/>
        <v>0.40620155038759692</v>
      </c>
      <c r="AC188" s="428"/>
      <c r="AD188" s="428">
        <f t="shared" si="783"/>
        <v>0.56986145144636058</v>
      </c>
      <c r="AE188" s="428">
        <f t="shared" si="783"/>
        <v>0.56726190476190474</v>
      </c>
      <c r="AF188" s="428"/>
      <c r="AG188" s="428">
        <f t="shared" si="783"/>
        <v>0.46145994261752371</v>
      </c>
      <c r="AH188" s="428">
        <f t="shared" si="783"/>
        <v>0.47211895910780671</v>
      </c>
      <c r="AI188" s="428"/>
      <c r="AJ188" s="428">
        <f t="shared" si="783"/>
        <v>0.37897993331166563</v>
      </c>
      <c r="AK188" s="428">
        <f t="shared" si="783"/>
        <v>0.38292253521126762</v>
      </c>
      <c r="AL188" s="428"/>
      <c r="AM188" s="428">
        <f t="shared" si="783"/>
        <v>0.57791473818220762</v>
      </c>
      <c r="AN188" s="428">
        <f t="shared" si="783"/>
        <v>0.57130509939498708</v>
      </c>
      <c r="AO188" s="540"/>
      <c r="AP188" s="503">
        <f t="shared" ref="AP188:AP190" si="784">AVERAGE(B188,I188,L188,O188,R188,U188,X188,AA188,AD188,AG188,AJ188)</f>
        <v>0.46590234247099643</v>
      </c>
      <c r="AQ188" s="503">
        <f t="shared" ref="AQ188:AQ190" si="785">AVERAGE(C188,J188,M188,P188,S188,V188,Y188,AB188,AE188,AH188,AK188)</f>
        <v>0.46458520357345789</v>
      </c>
      <c r="AR188" s="503"/>
      <c r="AS188" t="s">
        <v>369</v>
      </c>
    </row>
    <row r="189" spans="1:45" outlineLevel="1" x14ac:dyDescent="0.25">
      <c r="A189" s="445" t="s">
        <v>342</v>
      </c>
      <c r="B189" s="426">
        <f>SUM(B61:B67)</f>
        <v>0.23034726120779531</v>
      </c>
      <c r="C189" s="426">
        <f>SUM(C61:C67)</f>
        <v>0.23342939481268016</v>
      </c>
      <c r="D189" s="544"/>
      <c r="E189" s="427"/>
      <c r="F189" s="427"/>
      <c r="G189" s="427"/>
      <c r="H189" s="427"/>
      <c r="I189" s="426">
        <f t="shared" ref="I189:AN189" si="786">SUM(I61:I67)</f>
        <v>0.13758560289629235</v>
      </c>
      <c r="J189" s="426">
        <f t="shared" si="786"/>
        <v>0.14285714285714279</v>
      </c>
      <c r="K189" s="544"/>
      <c r="L189" s="426">
        <f t="shared" si="786"/>
        <v>0.15708118421265382</v>
      </c>
      <c r="M189" s="426">
        <f t="shared" si="786"/>
        <v>0.16565349544072949</v>
      </c>
      <c r="N189" s="426"/>
      <c r="O189" s="426">
        <f t="shared" si="786"/>
        <v>0.19374159638186045</v>
      </c>
      <c r="P189" s="426">
        <f t="shared" si="786"/>
        <v>0.18913480885311873</v>
      </c>
      <c r="Q189" s="426"/>
      <c r="R189" s="426">
        <f t="shared" si="786"/>
        <v>0.12268850621347938</v>
      </c>
      <c r="S189" s="426">
        <f t="shared" si="786"/>
        <v>0.11298076923076927</v>
      </c>
      <c r="T189" s="426"/>
      <c r="U189" s="426">
        <f t="shared" si="786"/>
        <v>0.19538702251176038</v>
      </c>
      <c r="V189" s="426">
        <f t="shared" si="786"/>
        <v>0.21170084439083231</v>
      </c>
      <c r="W189" s="426"/>
      <c r="X189" s="426">
        <f t="shared" si="786"/>
        <v>0.12646156505206751</v>
      </c>
      <c r="Y189" s="426">
        <f t="shared" si="786"/>
        <v>0.13025641025641022</v>
      </c>
      <c r="Z189" s="426"/>
      <c r="AA189" s="426">
        <f t="shared" si="786"/>
        <v>0.18789363495000566</v>
      </c>
      <c r="AB189" s="426">
        <f t="shared" si="786"/>
        <v>0.20620155038759685</v>
      </c>
      <c r="AC189" s="426"/>
      <c r="AD189" s="426">
        <f t="shared" si="786"/>
        <v>0.14720360010479761</v>
      </c>
      <c r="AE189" s="426">
        <f t="shared" si="786"/>
        <v>0.15119047619047621</v>
      </c>
      <c r="AF189" s="426"/>
      <c r="AG189" s="426">
        <f t="shared" si="786"/>
        <v>0.12963473846832935</v>
      </c>
      <c r="AH189" s="426">
        <f t="shared" si="786"/>
        <v>0.11895910780669144</v>
      </c>
      <c r="AI189" s="426"/>
      <c r="AJ189" s="426">
        <f t="shared" si="786"/>
        <v>0.21826987508978052</v>
      </c>
      <c r="AK189" s="426">
        <f t="shared" si="786"/>
        <v>0.22975352112676051</v>
      </c>
      <c r="AL189" s="426"/>
      <c r="AM189" s="426">
        <f t="shared" si="786"/>
        <v>0.12483491379823186</v>
      </c>
      <c r="AN189" s="426">
        <f t="shared" si="786"/>
        <v>0.12532411408815902</v>
      </c>
      <c r="AO189" s="555"/>
      <c r="AP189" s="503">
        <f t="shared" si="784"/>
        <v>0.16784496246262021</v>
      </c>
      <c r="AQ189" s="503">
        <f t="shared" si="785"/>
        <v>0.17201068375938255</v>
      </c>
      <c r="AR189" s="503"/>
      <c r="AS189" t="s">
        <v>370</v>
      </c>
    </row>
    <row r="190" spans="1:45" outlineLevel="1" x14ac:dyDescent="0.25">
      <c r="A190" s="444" t="s">
        <v>343</v>
      </c>
      <c r="B190" s="428">
        <f>SUM(B68:B74)</f>
        <v>0.38181089100970411</v>
      </c>
      <c r="C190" s="428">
        <f>SUM(C68:C74)</f>
        <v>0.40922190201729103</v>
      </c>
      <c r="D190" s="543"/>
      <c r="E190" s="427"/>
      <c r="F190" s="427"/>
      <c r="G190" s="427"/>
      <c r="H190" s="427"/>
      <c r="I190" s="428">
        <f t="shared" ref="I190:AN190" si="787">SUM(I68:I74)</f>
        <v>0.45454918248867904</v>
      </c>
      <c r="J190" s="428">
        <f t="shared" si="787"/>
        <v>0.46693121693121697</v>
      </c>
      <c r="K190" s="543"/>
      <c r="L190" s="428">
        <f t="shared" si="787"/>
        <v>0.39034229631186634</v>
      </c>
      <c r="M190" s="428">
        <f t="shared" si="787"/>
        <v>0.36626139817629177</v>
      </c>
      <c r="N190" s="428"/>
      <c r="O190" s="428">
        <f t="shared" si="787"/>
        <v>0.35929148470402594</v>
      </c>
      <c r="P190" s="428">
        <f t="shared" si="787"/>
        <v>0.33601609657947684</v>
      </c>
      <c r="Q190" s="428"/>
      <c r="R190" s="428">
        <f t="shared" si="787"/>
        <v>0.26120454916198543</v>
      </c>
      <c r="S190" s="428">
        <f t="shared" si="787"/>
        <v>0.25961538461538458</v>
      </c>
      <c r="T190" s="428"/>
      <c r="U190" s="428">
        <f t="shared" si="787"/>
        <v>0.38338877408087435</v>
      </c>
      <c r="V190" s="428">
        <f t="shared" si="787"/>
        <v>0.36067551266586251</v>
      </c>
      <c r="W190" s="428"/>
      <c r="X190" s="428">
        <f t="shared" si="787"/>
        <v>0.32601650607095023</v>
      </c>
      <c r="Y190" s="428">
        <f t="shared" si="787"/>
        <v>0.33333333333333337</v>
      </c>
      <c r="Z190" s="428"/>
      <c r="AA190" s="428">
        <f t="shared" si="787"/>
        <v>0.37758550294058879</v>
      </c>
      <c r="AB190" s="428">
        <f t="shared" si="787"/>
        <v>0.38759689922480622</v>
      </c>
      <c r="AC190" s="428"/>
      <c r="AD190" s="428">
        <f t="shared" si="787"/>
        <v>0.28293494844884182</v>
      </c>
      <c r="AE190" s="428">
        <f t="shared" si="787"/>
        <v>0.28154761904761905</v>
      </c>
      <c r="AF190" s="428"/>
      <c r="AG190" s="428">
        <f t="shared" si="787"/>
        <v>0.40890531891414694</v>
      </c>
      <c r="AH190" s="428">
        <f t="shared" si="787"/>
        <v>0.40892193308550184</v>
      </c>
      <c r="AI190" s="428"/>
      <c r="AJ190" s="428">
        <f t="shared" si="787"/>
        <v>0.40275019159855385</v>
      </c>
      <c r="AK190" s="428">
        <f t="shared" si="787"/>
        <v>0.38732394366197187</v>
      </c>
      <c r="AL190" s="428"/>
      <c r="AM190" s="428">
        <f t="shared" si="787"/>
        <v>0.29725034801956052</v>
      </c>
      <c r="AN190" s="428">
        <f t="shared" si="787"/>
        <v>0.3033707865168539</v>
      </c>
      <c r="AO190" s="540"/>
      <c r="AP190" s="503">
        <f t="shared" si="784"/>
        <v>0.36625269506638336</v>
      </c>
      <c r="AQ190" s="503">
        <f t="shared" si="785"/>
        <v>0.36340411266715972</v>
      </c>
      <c r="AR190" s="503"/>
      <c r="AS190" t="s">
        <v>371</v>
      </c>
    </row>
    <row r="191" spans="1:45" outlineLevel="1" x14ac:dyDescent="0.25">
      <c r="AM191" s="724" t="s">
        <v>350</v>
      </c>
      <c r="AN191" s="724"/>
      <c r="AO191" s="558"/>
    </row>
    <row r="192" spans="1:45" outlineLevel="1" x14ac:dyDescent="0.25">
      <c r="A192" s="443" t="s">
        <v>31</v>
      </c>
      <c r="B192" s="441" t="s">
        <v>70</v>
      </c>
      <c r="C192" s="433" t="s">
        <v>71</v>
      </c>
      <c r="D192" s="542"/>
      <c r="E192" s="435" t="s">
        <v>52</v>
      </c>
      <c r="F192" s="436" t="s">
        <v>53</v>
      </c>
      <c r="G192" s="437" t="s">
        <v>48</v>
      </c>
      <c r="H192" s="438" t="s">
        <v>49</v>
      </c>
      <c r="I192" s="435" t="s">
        <v>50</v>
      </c>
      <c r="J192" s="436" t="s">
        <v>51</v>
      </c>
      <c r="K192" s="542"/>
      <c r="L192" s="439" t="s">
        <v>136</v>
      </c>
      <c r="M192" s="442" t="s">
        <v>137</v>
      </c>
      <c r="N192" s="442"/>
      <c r="O192" s="441" t="s">
        <v>72</v>
      </c>
      <c r="P192" s="433" t="s">
        <v>73</v>
      </c>
      <c r="Q192" s="433"/>
      <c r="R192" s="437" t="s">
        <v>87</v>
      </c>
      <c r="S192" s="438" t="s">
        <v>88</v>
      </c>
      <c r="T192" s="438"/>
      <c r="U192" s="434" t="s">
        <v>94</v>
      </c>
      <c r="V192" s="434" t="s">
        <v>95</v>
      </c>
      <c r="W192" s="434"/>
      <c r="X192" s="434" t="s">
        <v>110</v>
      </c>
      <c r="Y192" s="434" t="s">
        <v>113</v>
      </c>
      <c r="Z192" s="434"/>
      <c r="AA192" s="439" t="s">
        <v>132</v>
      </c>
      <c r="AB192" s="442" t="s">
        <v>133</v>
      </c>
      <c r="AC192" s="442"/>
      <c r="AD192" s="437" t="s">
        <v>134</v>
      </c>
      <c r="AE192" s="438" t="s">
        <v>135</v>
      </c>
      <c r="AF192" s="438"/>
      <c r="AG192" s="439" t="s">
        <v>154</v>
      </c>
      <c r="AH192" s="442" t="s">
        <v>153</v>
      </c>
      <c r="AI192" s="442"/>
      <c r="AJ192" s="434" t="s">
        <v>169</v>
      </c>
      <c r="AK192" s="434" t="s">
        <v>170</v>
      </c>
      <c r="AL192" s="434"/>
      <c r="AM192" s="434" t="s">
        <v>199</v>
      </c>
      <c r="AN192" s="434" t="s">
        <v>200</v>
      </c>
      <c r="AO192" s="559"/>
      <c r="AP192" s="712" t="s">
        <v>351</v>
      </c>
      <c r="AQ192" s="712"/>
      <c r="AR192" s="512"/>
    </row>
    <row r="193" spans="1:47" outlineLevel="1" x14ac:dyDescent="0.25">
      <c r="A193" s="444" t="s">
        <v>74</v>
      </c>
      <c r="B193" s="428">
        <f t="shared" ref="B193:AN193" si="788">B54</f>
        <v>0.23692357045472773</v>
      </c>
      <c r="C193" s="428">
        <f t="shared" si="788"/>
        <v>0.21037463976945245</v>
      </c>
      <c r="D193" s="543"/>
      <c r="E193" s="427">
        <f t="shared" si="788"/>
        <v>0</v>
      </c>
      <c r="F193" s="427">
        <f t="shared" si="788"/>
        <v>0</v>
      </c>
      <c r="G193" s="427">
        <f t="shared" si="788"/>
        <v>0</v>
      </c>
      <c r="H193" s="427">
        <f t="shared" si="788"/>
        <v>0</v>
      </c>
      <c r="I193" s="428">
        <f t="shared" si="788"/>
        <v>0.25446248118054376</v>
      </c>
      <c r="J193" s="428">
        <f t="shared" si="788"/>
        <v>0.23677248677248677</v>
      </c>
      <c r="K193" s="543"/>
      <c r="L193" s="428">
        <f t="shared" si="788"/>
        <v>0.29429074975342379</v>
      </c>
      <c r="M193" s="428">
        <f t="shared" si="788"/>
        <v>0.29635258358662614</v>
      </c>
      <c r="N193" s="428"/>
      <c r="O193" s="428">
        <f t="shared" si="788"/>
        <v>0.21793290440155128</v>
      </c>
      <c r="P193" s="428">
        <f t="shared" si="788"/>
        <v>0.23138832997987926</v>
      </c>
      <c r="Q193" s="428"/>
      <c r="R193" s="428">
        <f t="shared" si="788"/>
        <v>0.37533932582389773</v>
      </c>
      <c r="S193" s="428">
        <f t="shared" si="788"/>
        <v>0.37560096153846156</v>
      </c>
      <c r="T193" s="428"/>
      <c r="U193" s="428">
        <f t="shared" si="788"/>
        <v>0.212457139052565</v>
      </c>
      <c r="V193" s="428">
        <f t="shared" si="788"/>
        <v>0.20566948130277443</v>
      </c>
      <c r="W193" s="428"/>
      <c r="X193" s="428">
        <f t="shared" si="788"/>
        <v>0.33040660242838005</v>
      </c>
      <c r="Y193" s="428">
        <f t="shared" si="788"/>
        <v>0.32512820512820512</v>
      </c>
      <c r="Z193" s="428"/>
      <c r="AA193" s="428">
        <f t="shared" si="788"/>
        <v>0.23216317878953724</v>
      </c>
      <c r="AB193" s="428">
        <f t="shared" si="788"/>
        <v>0.21085271317829457</v>
      </c>
      <c r="AC193" s="428"/>
      <c r="AD193" s="428">
        <f t="shared" si="788"/>
        <v>0.29954536347804644</v>
      </c>
      <c r="AE193" s="428">
        <f t="shared" si="788"/>
        <v>0.29107142857142859</v>
      </c>
      <c r="AF193" s="428"/>
      <c r="AG193" s="428">
        <f t="shared" si="788"/>
        <v>0.23055065107040387</v>
      </c>
      <c r="AH193" s="428">
        <f t="shared" si="788"/>
        <v>0.24907063197026022</v>
      </c>
      <c r="AI193" s="428"/>
      <c r="AJ193" s="428">
        <f t="shared" si="788"/>
        <v>0.15888034218899844</v>
      </c>
      <c r="AK193" s="428">
        <f t="shared" si="788"/>
        <v>0.15845070422535212</v>
      </c>
      <c r="AL193" s="428"/>
      <c r="AM193" s="428">
        <f t="shared" si="788"/>
        <v>0.30887479624495817</v>
      </c>
      <c r="AN193" s="428">
        <f t="shared" si="788"/>
        <v>0.2999135695764909</v>
      </c>
      <c r="AO193" s="540"/>
      <c r="AP193" s="503">
        <f t="shared" ref="AP193:AP195" si="789">AVERAGE(B193,I193,L193,O193,R193,U193,X193,AA193,AD193,AG193,AJ193)</f>
        <v>0.2584502098747341</v>
      </c>
      <c r="AQ193" s="503">
        <f t="shared" ref="AQ193:AQ195" si="790">AVERAGE(C193,J193,M193,P193,S193,V193,Y193,AB193,AE193,AH193,AK193)</f>
        <v>0.2537029241839292</v>
      </c>
      <c r="AR193" s="503"/>
      <c r="AS193" s="539" t="s">
        <v>374</v>
      </c>
      <c r="AT193" s="539"/>
      <c r="AU193" s="539"/>
    </row>
    <row r="194" spans="1:47" outlineLevel="1" x14ac:dyDescent="0.25">
      <c r="A194" s="445" t="s">
        <v>372</v>
      </c>
      <c r="B194" s="426">
        <f t="shared" ref="B194:AN194" si="791">SUM(B55:B61)</f>
        <v>0.19100168417675834</v>
      </c>
      <c r="C194" s="426">
        <f t="shared" si="791"/>
        <v>0.18155619596541786</v>
      </c>
      <c r="D194" s="544"/>
      <c r="E194" s="427">
        <f t="shared" si="791"/>
        <v>0</v>
      </c>
      <c r="F194" s="427">
        <f t="shared" si="791"/>
        <v>0</v>
      </c>
      <c r="G194" s="427">
        <f t="shared" si="791"/>
        <v>0</v>
      </c>
      <c r="H194" s="427">
        <f t="shared" si="791"/>
        <v>0</v>
      </c>
      <c r="I194" s="426">
        <f t="shared" si="791"/>
        <v>0.17191463436066573</v>
      </c>
      <c r="J194" s="426">
        <f t="shared" si="791"/>
        <v>0.17063492063492061</v>
      </c>
      <c r="K194" s="544"/>
      <c r="L194" s="426">
        <f t="shared" si="791"/>
        <v>0.18103545847009556</v>
      </c>
      <c r="M194" s="426">
        <f t="shared" si="791"/>
        <v>0.19756838905775076</v>
      </c>
      <c r="N194" s="426"/>
      <c r="O194" s="426">
        <f t="shared" si="791"/>
        <v>0.26840461823960171</v>
      </c>
      <c r="P194" s="426">
        <f t="shared" si="791"/>
        <v>0.27766599597585517</v>
      </c>
      <c r="Q194" s="426"/>
      <c r="R194" s="426">
        <f t="shared" si="791"/>
        <v>0.26944875500361809</v>
      </c>
      <c r="S194" s="426">
        <f t="shared" si="791"/>
        <v>0.27584134615384615</v>
      </c>
      <c r="T194" s="426"/>
      <c r="U194" s="426">
        <f t="shared" si="791"/>
        <v>0.25580079230333896</v>
      </c>
      <c r="V194" s="426">
        <f t="shared" si="791"/>
        <v>0.27201447527141132</v>
      </c>
      <c r="W194" s="426"/>
      <c r="X194" s="426">
        <f t="shared" si="791"/>
        <v>0.23153437324460957</v>
      </c>
      <c r="Y194" s="426">
        <f t="shared" si="791"/>
        <v>0.22769230769230769</v>
      </c>
      <c r="Z194" s="426"/>
      <c r="AA194" s="426">
        <f t="shared" si="791"/>
        <v>0.24112828264401065</v>
      </c>
      <c r="AB194" s="426">
        <f t="shared" si="791"/>
        <v>0.23410852713178293</v>
      </c>
      <c r="AC194" s="426"/>
      <c r="AD194" s="426">
        <f t="shared" si="791"/>
        <v>0.29621958173439983</v>
      </c>
      <c r="AE194" s="426">
        <f t="shared" si="791"/>
        <v>0.30059523809523808</v>
      </c>
      <c r="AF194" s="426"/>
      <c r="AG194" s="426">
        <f t="shared" si="791"/>
        <v>0.25697969543147214</v>
      </c>
      <c r="AH194" s="426">
        <f t="shared" si="791"/>
        <v>0.24907063197026022</v>
      </c>
      <c r="AI194" s="426"/>
      <c r="AJ194" s="426">
        <f t="shared" si="791"/>
        <v>0.25470369434112167</v>
      </c>
      <c r="AK194" s="426">
        <f t="shared" si="791"/>
        <v>0.26056338028169013</v>
      </c>
      <c r="AL194" s="426"/>
      <c r="AM194" s="426">
        <f t="shared" si="791"/>
        <v>0.29001630040334581</v>
      </c>
      <c r="AN194" s="426">
        <f t="shared" si="791"/>
        <v>0.29386343993085567</v>
      </c>
      <c r="AO194" s="555"/>
      <c r="AP194" s="503">
        <f t="shared" si="789"/>
        <v>0.23801559726815388</v>
      </c>
      <c r="AQ194" s="503">
        <f t="shared" si="790"/>
        <v>0.24066467347549825</v>
      </c>
      <c r="AR194" s="503"/>
      <c r="AS194" s="539" t="s">
        <v>375</v>
      </c>
      <c r="AT194" s="539"/>
      <c r="AU194" s="539"/>
    </row>
    <row r="195" spans="1:47" outlineLevel="1" x14ac:dyDescent="0.25">
      <c r="A195" s="444" t="s">
        <v>373</v>
      </c>
      <c r="B195" s="428">
        <f t="shared" ref="B195:AN195" si="792">SUM(B62:B71)</f>
        <v>0.32050685700537335</v>
      </c>
      <c r="C195" s="428">
        <f t="shared" si="792"/>
        <v>0.32853025936599423</v>
      </c>
      <c r="D195" s="543"/>
      <c r="E195" s="427">
        <f t="shared" si="792"/>
        <v>0</v>
      </c>
      <c r="F195" s="427">
        <f t="shared" si="792"/>
        <v>0</v>
      </c>
      <c r="G195" s="427">
        <f t="shared" si="792"/>
        <v>0</v>
      </c>
      <c r="H195" s="427">
        <f t="shared" si="792"/>
        <v>0</v>
      </c>
      <c r="I195" s="428">
        <f t="shared" si="792"/>
        <v>0.24977592398404225</v>
      </c>
      <c r="J195" s="428">
        <f t="shared" si="792"/>
        <v>0.25529100529100529</v>
      </c>
      <c r="K195" s="543"/>
      <c r="L195" s="428">
        <f t="shared" si="792"/>
        <v>0.26823451420440769</v>
      </c>
      <c r="M195" s="428">
        <f t="shared" si="792"/>
        <v>0.28723404255319146</v>
      </c>
      <c r="N195" s="428"/>
      <c r="O195" s="428">
        <f t="shared" si="792"/>
        <v>0.25539220588725536</v>
      </c>
      <c r="P195" s="428">
        <f t="shared" si="792"/>
        <v>0.24949698189134806</v>
      </c>
      <c r="Q195" s="428"/>
      <c r="R195" s="428">
        <f t="shared" si="792"/>
        <v>0.20480849266136014</v>
      </c>
      <c r="S195" s="428">
        <f t="shared" si="792"/>
        <v>0.20132211538461542</v>
      </c>
      <c r="T195" s="428"/>
      <c r="U195" s="428">
        <f t="shared" si="792"/>
        <v>0.25088922861818097</v>
      </c>
      <c r="V195" s="428">
        <f t="shared" si="792"/>
        <v>0.25211097708082025</v>
      </c>
      <c r="W195" s="428"/>
      <c r="X195" s="428">
        <f t="shared" si="792"/>
        <v>0.24835587434645467</v>
      </c>
      <c r="Y195" s="428">
        <f t="shared" si="792"/>
        <v>0.24820512820512819</v>
      </c>
      <c r="Z195" s="428"/>
      <c r="AA195" s="428">
        <f t="shared" si="792"/>
        <v>0.28327817014585671</v>
      </c>
      <c r="AB195" s="428">
        <f t="shared" si="792"/>
        <v>0.31627906976744186</v>
      </c>
      <c r="AC195" s="428"/>
      <c r="AD195" s="428">
        <f t="shared" si="792"/>
        <v>0.22825835683572981</v>
      </c>
      <c r="AE195" s="428">
        <f t="shared" si="792"/>
        <v>0.23333333333333328</v>
      </c>
      <c r="AF195" s="428"/>
      <c r="AG195" s="428">
        <f t="shared" si="792"/>
        <v>0.20941845067314058</v>
      </c>
      <c r="AH195" s="428">
        <f t="shared" si="792"/>
        <v>0.19330855018587362</v>
      </c>
      <c r="AI195" s="428"/>
      <c r="AJ195" s="428">
        <f t="shared" si="792"/>
        <v>0.30961122546836317</v>
      </c>
      <c r="AK195" s="428">
        <f t="shared" si="792"/>
        <v>0.30369718309859151</v>
      </c>
      <c r="AL195" s="428"/>
      <c r="AM195" s="428">
        <f t="shared" si="792"/>
        <v>0.19044106273870565</v>
      </c>
      <c r="AN195" s="428">
        <f t="shared" si="792"/>
        <v>0.17718236819360411</v>
      </c>
      <c r="AO195" s="540"/>
      <c r="AP195" s="503">
        <f t="shared" si="789"/>
        <v>0.25713902725728771</v>
      </c>
      <c r="AQ195" s="503">
        <f t="shared" si="790"/>
        <v>0.26080078601430395</v>
      </c>
      <c r="AR195" s="503"/>
      <c r="AS195" s="539" t="s">
        <v>376</v>
      </c>
      <c r="AT195" s="539"/>
      <c r="AU195" s="539"/>
    </row>
    <row r="196" spans="1:47" outlineLevel="1" x14ac:dyDescent="0.25">
      <c r="A196" s="444" t="s">
        <v>345</v>
      </c>
      <c r="B196" s="428">
        <f t="shared" ref="B196:AN196" si="793">SUM(B72:B74)</f>
        <v>0.25156788836314059</v>
      </c>
      <c r="C196" s="428">
        <f t="shared" si="793"/>
        <v>0.27953890489913547</v>
      </c>
      <c r="D196" s="543"/>
      <c r="E196" s="427">
        <f t="shared" si="793"/>
        <v>0</v>
      </c>
      <c r="F196" s="427">
        <f t="shared" si="793"/>
        <v>0</v>
      </c>
      <c r="G196" s="427">
        <f t="shared" si="793"/>
        <v>0</v>
      </c>
      <c r="H196" s="427">
        <f t="shared" si="793"/>
        <v>0</v>
      </c>
      <c r="I196" s="428">
        <f t="shared" si="793"/>
        <v>0.32384696047474826</v>
      </c>
      <c r="J196" s="428">
        <f t="shared" si="793"/>
        <v>0.33730158730158732</v>
      </c>
      <c r="K196" s="543"/>
      <c r="L196" s="428">
        <f t="shared" si="793"/>
        <v>0.25643927757207297</v>
      </c>
      <c r="M196" s="428">
        <f t="shared" si="793"/>
        <v>0.21884498480243164</v>
      </c>
      <c r="N196" s="428"/>
      <c r="O196" s="428">
        <f t="shared" si="793"/>
        <v>0.25827027147159165</v>
      </c>
      <c r="P196" s="428">
        <f t="shared" si="793"/>
        <v>0.24144869215291753</v>
      </c>
      <c r="Q196" s="428"/>
      <c r="R196" s="428">
        <f t="shared" si="793"/>
        <v>0.15040342651112404</v>
      </c>
      <c r="S196" s="428">
        <f t="shared" si="793"/>
        <v>0.14723557692307687</v>
      </c>
      <c r="T196" s="428"/>
      <c r="U196" s="428">
        <f t="shared" si="793"/>
        <v>0.28085284002591504</v>
      </c>
      <c r="V196" s="428">
        <f t="shared" si="793"/>
        <v>0.27020506634499397</v>
      </c>
      <c r="W196" s="428"/>
      <c r="X196" s="428">
        <f t="shared" si="793"/>
        <v>0.18970314998055571</v>
      </c>
      <c r="Y196" s="428">
        <f t="shared" si="793"/>
        <v>0.198974358974359</v>
      </c>
      <c r="Z196" s="428"/>
      <c r="AA196" s="428">
        <f t="shared" si="793"/>
        <v>0.2434303684205954</v>
      </c>
      <c r="AB196" s="428">
        <f t="shared" si="793"/>
        <v>0.23875968992248064</v>
      </c>
      <c r="AC196" s="428"/>
      <c r="AD196" s="428">
        <f t="shared" si="793"/>
        <v>0.17597669795182391</v>
      </c>
      <c r="AE196" s="428">
        <f t="shared" si="793"/>
        <v>0.17500000000000004</v>
      </c>
      <c r="AF196" s="428"/>
      <c r="AG196" s="428">
        <f t="shared" si="793"/>
        <v>0.30305120282498343</v>
      </c>
      <c r="AH196" s="428">
        <f t="shared" si="793"/>
        <v>0.30855018587360594</v>
      </c>
      <c r="AI196" s="428"/>
      <c r="AJ196" s="428">
        <f t="shared" si="793"/>
        <v>0.27680473800151673</v>
      </c>
      <c r="AK196" s="428">
        <f t="shared" si="793"/>
        <v>0.27728873239436624</v>
      </c>
      <c r="AL196" s="428"/>
      <c r="AM196" s="428">
        <f t="shared" si="793"/>
        <v>0.21066784061299038</v>
      </c>
      <c r="AN196" s="428">
        <f t="shared" si="793"/>
        <v>0.22904062229904931</v>
      </c>
      <c r="AO196" s="540"/>
      <c r="AP196" s="503">
        <f t="shared" ref="AP196" si="794">AVERAGE(B196,I196,L196,O196,R196,U196,X196,AA196,AD196,AG196,AJ196)</f>
        <v>0.2463951655998243</v>
      </c>
      <c r="AQ196" s="503">
        <f t="shared" ref="AQ196" si="795">AVERAGE(C196,J196,M196,P196,S196,V196,Y196,AB196,AE196,AH196,AK196)</f>
        <v>0.24483161632626854</v>
      </c>
      <c r="AR196" s="503"/>
      <c r="AS196" s="539" t="s">
        <v>364</v>
      </c>
      <c r="AT196" s="539"/>
      <c r="AU196" s="539"/>
    </row>
    <row r="197" spans="1:47" outlineLevel="1" x14ac:dyDescent="0.25"/>
    <row r="199" spans="1:47" outlineLevel="1" x14ac:dyDescent="0.25">
      <c r="A199" s="443"/>
      <c r="B199" s="441" t="s">
        <v>412</v>
      </c>
      <c r="C199" s="433" t="s">
        <v>413</v>
      </c>
      <c r="D199" s="542" t="s">
        <v>58</v>
      </c>
      <c r="E199" s="435"/>
      <c r="F199" s="436"/>
      <c r="G199" s="437"/>
      <c r="H199" s="438"/>
      <c r="I199" s="435" t="s">
        <v>412</v>
      </c>
      <c r="J199" s="436" t="s">
        <v>413</v>
      </c>
      <c r="K199" s="542" t="s">
        <v>58</v>
      </c>
      <c r="L199" s="439" t="s">
        <v>412</v>
      </c>
      <c r="M199" s="442" t="s">
        <v>413</v>
      </c>
      <c r="N199" s="442" t="s">
        <v>58</v>
      </c>
      <c r="O199" s="441" t="s">
        <v>412</v>
      </c>
      <c r="P199" s="433" t="s">
        <v>413</v>
      </c>
      <c r="Q199" s="433" t="s">
        <v>58</v>
      </c>
      <c r="R199" s="437" t="s">
        <v>412</v>
      </c>
      <c r="S199" s="438" t="s">
        <v>413</v>
      </c>
      <c r="T199" s="438" t="s">
        <v>58</v>
      </c>
      <c r="U199" s="434" t="s">
        <v>412</v>
      </c>
      <c r="V199" s="434" t="s">
        <v>413</v>
      </c>
      <c r="W199" s="434" t="s">
        <v>58</v>
      </c>
      <c r="X199" s="434" t="s">
        <v>412</v>
      </c>
      <c r="Y199" s="434" t="s">
        <v>413</v>
      </c>
      <c r="Z199" s="434" t="s">
        <v>58</v>
      </c>
      <c r="AA199" s="439" t="s">
        <v>412</v>
      </c>
      <c r="AB199" s="442" t="s">
        <v>413</v>
      </c>
      <c r="AC199" s="442" t="s">
        <v>58</v>
      </c>
      <c r="AD199" s="437" t="s">
        <v>412</v>
      </c>
      <c r="AE199" s="438" t="s">
        <v>413</v>
      </c>
      <c r="AF199" s="438" t="s">
        <v>58</v>
      </c>
      <c r="AG199" s="439" t="s">
        <v>412</v>
      </c>
      <c r="AH199" s="442" t="s">
        <v>413</v>
      </c>
      <c r="AI199" s="442" t="s">
        <v>58</v>
      </c>
      <c r="AJ199" s="434" t="s">
        <v>412</v>
      </c>
      <c r="AK199" s="434" t="s">
        <v>413</v>
      </c>
      <c r="AL199" s="434" t="s">
        <v>58</v>
      </c>
      <c r="AM199" s="434" t="s">
        <v>412</v>
      </c>
      <c r="AN199" s="434" t="s">
        <v>413</v>
      </c>
      <c r="AO199" s="559" t="s">
        <v>58</v>
      </c>
      <c r="AP199" s="712"/>
      <c r="AQ199" s="712"/>
      <c r="AR199" s="512"/>
    </row>
    <row r="200" spans="1:47" x14ac:dyDescent="0.25">
      <c r="A200" s="575">
        <v>1</v>
      </c>
      <c r="B200" s="576"/>
      <c r="C200" s="576"/>
      <c r="D200" s="577">
        <f>B200*C200</f>
        <v>0</v>
      </c>
      <c r="E200" s="575"/>
      <c r="F200" s="575"/>
      <c r="G200" s="575"/>
      <c r="H200" s="575"/>
      <c r="I200" s="576"/>
      <c r="J200" s="576"/>
      <c r="K200" s="577">
        <f t="shared" ref="K200:K208" si="796">I200*J200</f>
        <v>0</v>
      </c>
      <c r="L200" s="576">
        <v>86</v>
      </c>
      <c r="M200" s="582">
        <v>40</v>
      </c>
      <c r="N200" s="582">
        <f t="shared" ref="N200:N208" si="797">L200*M200</f>
        <v>3440</v>
      </c>
      <c r="O200" s="576">
        <v>11</v>
      </c>
      <c r="P200" s="582">
        <v>35</v>
      </c>
      <c r="Q200" s="582">
        <f t="shared" ref="Q200:Q208" si="798">O200*P200</f>
        <v>385</v>
      </c>
      <c r="R200" s="576">
        <v>364</v>
      </c>
      <c r="S200" s="582">
        <v>40</v>
      </c>
      <c r="T200" s="582">
        <f t="shared" ref="T200:T208" si="799">R200*S200</f>
        <v>14560</v>
      </c>
      <c r="U200" s="576">
        <v>35</v>
      </c>
      <c r="V200" s="582">
        <v>40</v>
      </c>
      <c r="W200" s="582">
        <f t="shared" ref="W200:W208" si="800">U200*V200</f>
        <v>1400</v>
      </c>
      <c r="X200" s="576">
        <v>191</v>
      </c>
      <c r="Y200" s="582">
        <v>40</v>
      </c>
      <c r="Z200" s="582">
        <f t="shared" ref="Z200:Z208" si="801">X200*Y200</f>
        <v>7640</v>
      </c>
      <c r="AA200" s="576">
        <v>34</v>
      </c>
      <c r="AB200" s="582">
        <v>30</v>
      </c>
      <c r="AC200" s="582">
        <f t="shared" ref="AC200:AC208" si="802">AA200*AB200</f>
        <v>1020</v>
      </c>
      <c r="AD200" s="576">
        <v>171</v>
      </c>
      <c r="AE200" s="582">
        <v>35</v>
      </c>
      <c r="AF200" s="582">
        <f t="shared" ref="AF200:AF208" si="803">AD200*AE200</f>
        <v>5985</v>
      </c>
      <c r="AG200" s="576">
        <v>64</v>
      </c>
      <c r="AH200" s="582">
        <v>20</v>
      </c>
      <c r="AI200" s="582">
        <f t="shared" ref="AI200:AI208" si="804">AG200*AH200</f>
        <v>1280</v>
      </c>
      <c r="AJ200" s="576">
        <v>8</v>
      </c>
      <c r="AK200" s="582">
        <v>40</v>
      </c>
      <c r="AL200" s="582">
        <f t="shared" ref="AL200:AL208" si="805">AJ200*AK200</f>
        <v>320</v>
      </c>
      <c r="AM200" s="576">
        <f>'Übersicht &amp; Anleitung'!V15</f>
        <v>24</v>
      </c>
      <c r="AN200" s="582">
        <v>25</v>
      </c>
      <c r="AO200" s="582">
        <f t="shared" ref="AO200:AO208" si="806">AM200*AN200</f>
        <v>600</v>
      </c>
    </row>
    <row r="201" spans="1:47" x14ac:dyDescent="0.25">
      <c r="A201" s="575">
        <v>2</v>
      </c>
      <c r="B201" s="576"/>
      <c r="C201" s="576"/>
      <c r="D201" s="577">
        <f t="shared" ref="D201:D208" si="807">B201*C201</f>
        <v>0</v>
      </c>
      <c r="E201" s="575"/>
      <c r="F201" s="575"/>
      <c r="G201" s="575"/>
      <c r="H201" s="575"/>
      <c r="I201" s="576"/>
      <c r="J201" s="576"/>
      <c r="K201" s="577">
        <f t="shared" si="796"/>
        <v>0</v>
      </c>
      <c r="L201" s="576">
        <v>67</v>
      </c>
      <c r="M201" s="582">
        <v>70</v>
      </c>
      <c r="N201" s="582">
        <f t="shared" si="797"/>
        <v>4690</v>
      </c>
      <c r="O201" s="576">
        <v>26</v>
      </c>
      <c r="P201" s="582">
        <v>120</v>
      </c>
      <c r="Q201" s="582">
        <f t="shared" si="798"/>
        <v>3120</v>
      </c>
      <c r="R201" s="576">
        <v>59</v>
      </c>
      <c r="S201" s="582">
        <v>70</v>
      </c>
      <c r="T201" s="582">
        <f t="shared" si="799"/>
        <v>4130</v>
      </c>
      <c r="U201" s="576">
        <v>67</v>
      </c>
      <c r="V201" s="582">
        <v>45</v>
      </c>
      <c r="W201" s="582">
        <f t="shared" si="800"/>
        <v>3015</v>
      </c>
      <c r="X201" s="576">
        <v>6</v>
      </c>
      <c r="Y201" s="582">
        <v>40</v>
      </c>
      <c r="Z201" s="582">
        <f t="shared" si="801"/>
        <v>240</v>
      </c>
      <c r="AA201" s="576">
        <v>46</v>
      </c>
      <c r="AB201" s="582">
        <v>45</v>
      </c>
      <c r="AC201" s="582">
        <f t="shared" si="802"/>
        <v>2070</v>
      </c>
      <c r="AD201" s="576">
        <v>13</v>
      </c>
      <c r="AE201" s="582">
        <v>40</v>
      </c>
      <c r="AF201" s="582">
        <f t="shared" si="803"/>
        <v>520</v>
      </c>
      <c r="AG201" s="576">
        <v>12</v>
      </c>
      <c r="AH201" s="582">
        <v>29.95</v>
      </c>
      <c r="AI201" s="582">
        <f t="shared" si="804"/>
        <v>359.4</v>
      </c>
      <c r="AJ201" s="576">
        <v>164</v>
      </c>
      <c r="AK201" s="582">
        <v>40</v>
      </c>
      <c r="AL201" s="582">
        <f t="shared" si="805"/>
        <v>6560</v>
      </c>
      <c r="AM201" s="576">
        <f>'Übersicht &amp; Anleitung'!V16</f>
        <v>714</v>
      </c>
      <c r="AN201" s="582">
        <v>50</v>
      </c>
      <c r="AO201" s="582">
        <f t="shared" si="806"/>
        <v>35700</v>
      </c>
    </row>
    <row r="202" spans="1:47" x14ac:dyDescent="0.25">
      <c r="A202" s="575">
        <v>3</v>
      </c>
      <c r="B202" s="576"/>
      <c r="C202" s="576"/>
      <c r="D202" s="577">
        <f t="shared" si="807"/>
        <v>0</v>
      </c>
      <c r="E202" s="575"/>
      <c r="F202" s="575"/>
      <c r="G202" s="575"/>
      <c r="H202" s="575"/>
      <c r="I202" s="576"/>
      <c r="J202" s="576"/>
      <c r="K202" s="577">
        <f t="shared" si="796"/>
        <v>0</v>
      </c>
      <c r="L202" s="576">
        <v>36</v>
      </c>
      <c r="M202" s="582">
        <v>75</v>
      </c>
      <c r="N202" s="582">
        <f t="shared" si="797"/>
        <v>2700</v>
      </c>
      <c r="O202" s="576">
        <v>456</v>
      </c>
      <c r="P202" s="582">
        <v>150</v>
      </c>
      <c r="Q202" s="582">
        <f t="shared" si="798"/>
        <v>68400</v>
      </c>
      <c r="R202" s="576">
        <v>507</v>
      </c>
      <c r="S202" s="582">
        <v>135</v>
      </c>
      <c r="T202" s="582">
        <f t="shared" si="799"/>
        <v>68445</v>
      </c>
      <c r="U202" s="576">
        <v>462</v>
      </c>
      <c r="V202" s="582">
        <v>100</v>
      </c>
      <c r="W202" s="582">
        <f t="shared" si="800"/>
        <v>46200</v>
      </c>
      <c r="X202" s="576">
        <v>187</v>
      </c>
      <c r="Y202" s="582">
        <v>100</v>
      </c>
      <c r="Z202" s="582">
        <f t="shared" si="801"/>
        <v>18700</v>
      </c>
      <c r="AA202" s="576">
        <v>106</v>
      </c>
      <c r="AB202" s="582">
        <v>60</v>
      </c>
      <c r="AC202" s="582">
        <f t="shared" si="802"/>
        <v>6360</v>
      </c>
      <c r="AD202" s="576">
        <v>57</v>
      </c>
      <c r="AE202" s="582">
        <v>60</v>
      </c>
      <c r="AF202" s="582">
        <f t="shared" si="803"/>
        <v>3420</v>
      </c>
      <c r="AG202" s="576">
        <v>6</v>
      </c>
      <c r="AH202" s="582">
        <v>50</v>
      </c>
      <c r="AI202" s="582">
        <f t="shared" si="804"/>
        <v>300</v>
      </c>
      <c r="AJ202" s="576">
        <v>54</v>
      </c>
      <c r="AK202" s="582">
        <v>60</v>
      </c>
      <c r="AL202" s="582">
        <f t="shared" si="805"/>
        <v>3240</v>
      </c>
      <c r="AM202" s="576">
        <f>'Übersicht &amp; Anleitung'!V17</f>
        <v>0</v>
      </c>
      <c r="AN202" s="582"/>
      <c r="AO202" s="582">
        <f t="shared" si="806"/>
        <v>0</v>
      </c>
    </row>
    <row r="203" spans="1:47" x14ac:dyDescent="0.25">
      <c r="A203" s="575">
        <v>4</v>
      </c>
      <c r="B203" s="576"/>
      <c r="C203" s="576"/>
      <c r="D203" s="577">
        <f t="shared" si="807"/>
        <v>0</v>
      </c>
      <c r="E203" s="575"/>
      <c r="F203" s="575"/>
      <c r="G203" s="575"/>
      <c r="H203" s="575"/>
      <c r="I203" s="576"/>
      <c r="J203" s="576"/>
      <c r="K203" s="577">
        <f t="shared" si="796"/>
        <v>0</v>
      </c>
      <c r="L203" s="576">
        <v>126</v>
      </c>
      <c r="M203" s="582">
        <v>140</v>
      </c>
      <c r="N203" s="582">
        <f t="shared" si="797"/>
        <v>17640</v>
      </c>
      <c r="O203" s="576"/>
      <c r="P203" s="582"/>
      <c r="Q203" s="582">
        <f t="shared" si="798"/>
        <v>0</v>
      </c>
      <c r="R203" s="576">
        <v>134</v>
      </c>
      <c r="S203" s="582">
        <v>165</v>
      </c>
      <c r="T203" s="582">
        <f t="shared" si="799"/>
        <v>22110</v>
      </c>
      <c r="U203" s="576">
        <v>235</v>
      </c>
      <c r="V203" s="582">
        <v>100</v>
      </c>
      <c r="W203" s="582">
        <f t="shared" si="800"/>
        <v>23500</v>
      </c>
      <c r="X203" s="576">
        <v>323</v>
      </c>
      <c r="Y203" s="582">
        <v>195</v>
      </c>
      <c r="Z203" s="582">
        <f t="shared" si="801"/>
        <v>62985</v>
      </c>
      <c r="AA203" s="576">
        <v>246</v>
      </c>
      <c r="AB203" s="582">
        <v>119</v>
      </c>
      <c r="AC203" s="582">
        <f t="shared" si="802"/>
        <v>29274</v>
      </c>
      <c r="AD203" s="576">
        <v>518</v>
      </c>
      <c r="AE203" s="582">
        <v>90</v>
      </c>
      <c r="AF203" s="582">
        <f t="shared" si="803"/>
        <v>46620</v>
      </c>
      <c r="AG203" s="576">
        <v>18</v>
      </c>
      <c r="AH203" s="582">
        <v>70</v>
      </c>
      <c r="AI203" s="582">
        <f t="shared" si="804"/>
        <v>1260</v>
      </c>
      <c r="AJ203" s="576">
        <v>204</v>
      </c>
      <c r="AK203" s="582">
        <v>110</v>
      </c>
      <c r="AL203" s="582">
        <f t="shared" si="805"/>
        <v>22440</v>
      </c>
      <c r="AM203" s="576">
        <f>'Übersicht &amp; Anleitung'!V18</f>
        <v>0</v>
      </c>
      <c r="AN203" s="582"/>
      <c r="AO203" s="582">
        <f t="shared" si="806"/>
        <v>0</v>
      </c>
    </row>
    <row r="204" spans="1:47" x14ac:dyDescent="0.25">
      <c r="A204" s="575">
        <v>5</v>
      </c>
      <c r="B204" s="576"/>
      <c r="C204" s="576"/>
      <c r="D204" s="577">
        <f t="shared" si="807"/>
        <v>0</v>
      </c>
      <c r="E204" s="575"/>
      <c r="F204" s="575"/>
      <c r="G204" s="575"/>
      <c r="H204" s="575"/>
      <c r="I204" s="576"/>
      <c r="J204" s="576"/>
      <c r="K204" s="577">
        <f t="shared" si="796"/>
        <v>0</v>
      </c>
      <c r="L204" s="576">
        <v>134</v>
      </c>
      <c r="M204" s="582">
        <v>175</v>
      </c>
      <c r="N204" s="582">
        <f t="shared" si="797"/>
        <v>23450</v>
      </c>
      <c r="O204" s="576"/>
      <c r="P204" s="582"/>
      <c r="Q204" s="582">
        <f t="shared" si="798"/>
        <v>0</v>
      </c>
      <c r="R204" s="576">
        <v>225</v>
      </c>
      <c r="S204" s="582">
        <v>300</v>
      </c>
      <c r="T204" s="582">
        <f t="shared" si="799"/>
        <v>67500</v>
      </c>
      <c r="U204" s="576">
        <v>452</v>
      </c>
      <c r="V204" s="582">
        <v>200</v>
      </c>
      <c r="W204" s="582">
        <f t="shared" si="800"/>
        <v>90400</v>
      </c>
      <c r="X204" s="576">
        <v>63</v>
      </c>
      <c r="Y204" s="582">
        <v>225</v>
      </c>
      <c r="Z204" s="582">
        <f t="shared" si="801"/>
        <v>14175</v>
      </c>
      <c r="AA204" s="576">
        <v>94</v>
      </c>
      <c r="AB204" s="582">
        <v>149</v>
      </c>
      <c r="AC204" s="582">
        <f t="shared" si="802"/>
        <v>14006</v>
      </c>
      <c r="AD204" s="576">
        <v>41</v>
      </c>
      <c r="AE204" s="582">
        <v>95</v>
      </c>
      <c r="AF204" s="582">
        <f t="shared" si="803"/>
        <v>3895</v>
      </c>
      <c r="AG204" s="576">
        <v>31</v>
      </c>
      <c r="AH204" s="582">
        <v>130</v>
      </c>
      <c r="AI204" s="582">
        <f t="shared" si="804"/>
        <v>4030</v>
      </c>
      <c r="AJ204" s="576">
        <v>119</v>
      </c>
      <c r="AK204" s="582">
        <v>125</v>
      </c>
      <c r="AL204" s="582">
        <f t="shared" si="805"/>
        <v>14875</v>
      </c>
      <c r="AM204" s="576">
        <f>'Übersicht &amp; Anleitung'!V19</f>
        <v>0</v>
      </c>
      <c r="AN204" s="582"/>
      <c r="AO204" s="582">
        <f t="shared" si="806"/>
        <v>0</v>
      </c>
    </row>
    <row r="205" spans="1:47" x14ac:dyDescent="0.25">
      <c r="A205" s="575">
        <v>6</v>
      </c>
      <c r="B205" s="576"/>
      <c r="C205" s="576"/>
      <c r="D205" s="577">
        <f t="shared" si="807"/>
        <v>0</v>
      </c>
      <c r="E205" s="575"/>
      <c r="F205" s="575"/>
      <c r="G205" s="575"/>
      <c r="H205" s="575"/>
      <c r="I205" s="576"/>
      <c r="J205" s="576"/>
      <c r="K205" s="577">
        <f t="shared" si="796"/>
        <v>0</v>
      </c>
      <c r="L205" s="576">
        <v>227</v>
      </c>
      <c r="M205" s="582">
        <v>195</v>
      </c>
      <c r="N205" s="582">
        <f t="shared" si="797"/>
        <v>44265</v>
      </c>
      <c r="O205" s="576"/>
      <c r="P205" s="582"/>
      <c r="Q205" s="582">
        <f t="shared" si="798"/>
        <v>0</v>
      </c>
      <c r="R205" s="576"/>
      <c r="S205" s="582"/>
      <c r="T205" s="582">
        <f t="shared" si="799"/>
        <v>0</v>
      </c>
      <c r="U205" s="576">
        <v>131</v>
      </c>
      <c r="V205" s="582">
        <v>230</v>
      </c>
      <c r="W205" s="582">
        <f t="shared" si="800"/>
        <v>30130</v>
      </c>
      <c r="X205" s="576">
        <v>211</v>
      </c>
      <c r="Y205" s="582">
        <v>380</v>
      </c>
      <c r="Z205" s="582">
        <f t="shared" si="801"/>
        <v>80180</v>
      </c>
      <c r="AA205" s="576">
        <v>134</v>
      </c>
      <c r="AB205" s="582">
        <v>259</v>
      </c>
      <c r="AC205" s="582">
        <f t="shared" si="802"/>
        <v>34706</v>
      </c>
      <c r="AD205" s="576">
        <v>199</v>
      </c>
      <c r="AE205" s="582">
        <v>100</v>
      </c>
      <c r="AF205" s="582">
        <f t="shared" si="803"/>
        <v>19900</v>
      </c>
      <c r="AG205" s="576">
        <v>146</v>
      </c>
      <c r="AH205" s="582">
        <v>165</v>
      </c>
      <c r="AI205" s="582">
        <f t="shared" si="804"/>
        <v>24090</v>
      </c>
      <c r="AJ205" s="576">
        <v>391</v>
      </c>
      <c r="AK205" s="582">
        <v>230</v>
      </c>
      <c r="AL205" s="582">
        <f t="shared" si="805"/>
        <v>89930</v>
      </c>
      <c r="AM205" s="576">
        <f>'Übersicht &amp; Anleitung'!V20</f>
        <v>0</v>
      </c>
      <c r="AN205" s="582"/>
      <c r="AO205" s="582">
        <f t="shared" si="806"/>
        <v>0</v>
      </c>
    </row>
    <row r="206" spans="1:47" x14ac:dyDescent="0.25">
      <c r="A206" s="575">
        <v>7</v>
      </c>
      <c r="B206" s="576"/>
      <c r="C206" s="576"/>
      <c r="D206" s="577">
        <f t="shared" si="807"/>
        <v>0</v>
      </c>
      <c r="E206" s="575"/>
      <c r="F206" s="575"/>
      <c r="G206" s="575"/>
      <c r="H206" s="575"/>
      <c r="I206" s="576"/>
      <c r="J206" s="576"/>
      <c r="K206" s="577">
        <f t="shared" si="796"/>
        <v>0</v>
      </c>
      <c r="L206" s="576">
        <v>10</v>
      </c>
      <c r="M206" s="582">
        <v>450</v>
      </c>
      <c r="N206" s="582">
        <f t="shared" si="797"/>
        <v>4500</v>
      </c>
      <c r="O206" s="576"/>
      <c r="P206" s="582"/>
      <c r="Q206" s="582">
        <f t="shared" si="798"/>
        <v>0</v>
      </c>
      <c r="R206" s="576"/>
      <c r="S206" s="582"/>
      <c r="T206" s="582">
        <f t="shared" si="799"/>
        <v>0</v>
      </c>
      <c r="U206" s="576">
        <v>307</v>
      </c>
      <c r="V206" s="582">
        <v>360</v>
      </c>
      <c r="W206" s="582">
        <f t="shared" si="800"/>
        <v>110520</v>
      </c>
      <c r="X206" s="576"/>
      <c r="Y206" s="582"/>
      <c r="Z206" s="582">
        <f t="shared" si="801"/>
        <v>0</v>
      </c>
      <c r="AA206" s="576">
        <v>8</v>
      </c>
      <c r="AB206" s="582">
        <v>599</v>
      </c>
      <c r="AC206" s="582">
        <f t="shared" si="802"/>
        <v>4792</v>
      </c>
      <c r="AD206" s="576">
        <v>376</v>
      </c>
      <c r="AE206" s="582">
        <v>210</v>
      </c>
      <c r="AF206" s="582">
        <f t="shared" si="803"/>
        <v>78960</v>
      </c>
      <c r="AG206" s="576"/>
      <c r="AH206" s="582"/>
      <c r="AI206" s="582">
        <f t="shared" si="804"/>
        <v>0</v>
      </c>
      <c r="AJ206" s="576">
        <v>202</v>
      </c>
      <c r="AK206" s="582">
        <v>330</v>
      </c>
      <c r="AL206" s="582">
        <f t="shared" si="805"/>
        <v>66660</v>
      </c>
      <c r="AM206" s="576">
        <f>'Übersicht &amp; Anleitung'!V21</f>
        <v>0</v>
      </c>
      <c r="AN206" s="582"/>
      <c r="AO206" s="582">
        <f t="shared" si="806"/>
        <v>0</v>
      </c>
    </row>
    <row r="207" spans="1:47" x14ac:dyDescent="0.25">
      <c r="A207" s="575">
        <v>8</v>
      </c>
      <c r="B207" s="576"/>
      <c r="C207" s="576"/>
      <c r="D207" s="577">
        <f t="shared" ref="D207" si="808">B207*C207</f>
        <v>0</v>
      </c>
      <c r="E207" s="575"/>
      <c r="F207" s="575"/>
      <c r="G207" s="575"/>
      <c r="H207" s="575"/>
      <c r="I207" s="576"/>
      <c r="J207" s="576"/>
      <c r="K207" s="577">
        <f t="shared" ref="K207" si="809">I207*J207</f>
        <v>0</v>
      </c>
      <c r="L207" s="576"/>
      <c r="M207" s="582"/>
      <c r="N207" s="582">
        <f t="shared" ref="N207" si="810">L207*M207</f>
        <v>0</v>
      </c>
      <c r="O207" s="576"/>
      <c r="P207" s="582"/>
      <c r="Q207" s="582">
        <f t="shared" ref="Q207" si="811">O207*P207</f>
        <v>0</v>
      </c>
      <c r="R207" s="576"/>
      <c r="S207" s="582"/>
      <c r="T207" s="582">
        <f t="shared" ref="T207" si="812">R207*S207</f>
        <v>0</v>
      </c>
      <c r="U207" s="576"/>
      <c r="V207" s="582"/>
      <c r="W207" s="582">
        <f t="shared" ref="W207" si="813">U207*V207</f>
        <v>0</v>
      </c>
      <c r="X207" s="576"/>
      <c r="Y207" s="582"/>
      <c r="Z207" s="582">
        <f t="shared" ref="Z207" si="814">X207*Y207</f>
        <v>0</v>
      </c>
      <c r="AA207" s="576"/>
      <c r="AB207" s="582"/>
      <c r="AC207" s="582">
        <f t="shared" ref="AC207" si="815">AA207*AB207</f>
        <v>0</v>
      </c>
      <c r="AD207" s="576">
        <v>119</v>
      </c>
      <c r="AE207" s="582">
        <v>235</v>
      </c>
      <c r="AF207" s="582">
        <f t="shared" ref="AF207" si="816">AD207*AE207</f>
        <v>27965</v>
      </c>
      <c r="AG207" s="576"/>
      <c r="AH207" s="582"/>
      <c r="AI207" s="582">
        <f t="shared" ref="AI207" si="817">AG207*AH207</f>
        <v>0</v>
      </c>
      <c r="AJ207" s="576"/>
      <c r="AK207" s="582"/>
      <c r="AL207" s="582">
        <f t="shared" ref="AL207" si="818">AJ207*AK207</f>
        <v>0</v>
      </c>
      <c r="AM207" s="576">
        <f>'Übersicht &amp; Anleitung'!V22</f>
        <v>0</v>
      </c>
      <c r="AN207" s="582"/>
      <c r="AO207" s="582">
        <f t="shared" ref="AO207" si="819">AM207*AN207</f>
        <v>0</v>
      </c>
    </row>
    <row r="208" spans="1:47" x14ac:dyDescent="0.25">
      <c r="A208" s="575">
        <v>9</v>
      </c>
      <c r="B208" s="576"/>
      <c r="C208" s="576"/>
      <c r="D208" s="577">
        <f t="shared" si="807"/>
        <v>0</v>
      </c>
      <c r="E208" s="575"/>
      <c r="F208" s="575"/>
      <c r="G208" s="575"/>
      <c r="H208" s="575"/>
      <c r="I208" s="576"/>
      <c r="J208" s="576"/>
      <c r="K208" s="577">
        <f t="shared" si="796"/>
        <v>0</v>
      </c>
      <c r="L208" s="576"/>
      <c r="M208" s="582"/>
      <c r="N208" s="582">
        <f t="shared" si="797"/>
        <v>0</v>
      </c>
      <c r="O208" s="576"/>
      <c r="P208" s="582"/>
      <c r="Q208" s="582">
        <f t="shared" si="798"/>
        <v>0</v>
      </c>
      <c r="R208" s="576"/>
      <c r="S208" s="582"/>
      <c r="T208" s="582">
        <f t="shared" si="799"/>
        <v>0</v>
      </c>
      <c r="U208" s="576"/>
      <c r="V208" s="582"/>
      <c r="W208" s="582">
        <f t="shared" si="800"/>
        <v>0</v>
      </c>
      <c r="X208" s="576"/>
      <c r="Y208" s="582"/>
      <c r="Z208" s="582">
        <f t="shared" si="801"/>
        <v>0</v>
      </c>
      <c r="AA208" s="576"/>
      <c r="AB208" s="582"/>
      <c r="AC208" s="582">
        <f t="shared" si="802"/>
        <v>0</v>
      </c>
      <c r="AD208" s="576">
        <v>201</v>
      </c>
      <c r="AE208" s="582">
        <v>359</v>
      </c>
      <c r="AF208" s="582">
        <f t="shared" si="803"/>
        <v>72159</v>
      </c>
      <c r="AG208" s="576"/>
      <c r="AH208" s="582"/>
      <c r="AI208" s="582">
        <f t="shared" si="804"/>
        <v>0</v>
      </c>
      <c r="AJ208" s="576"/>
      <c r="AK208" s="582"/>
      <c r="AL208" s="582">
        <f t="shared" si="805"/>
        <v>0</v>
      </c>
      <c r="AM208" s="576">
        <f>'Übersicht &amp; Anleitung'!V23</f>
        <v>419</v>
      </c>
      <c r="AN208" s="582">
        <v>85</v>
      </c>
      <c r="AO208" s="582">
        <f t="shared" si="806"/>
        <v>35615</v>
      </c>
    </row>
    <row r="209" spans="1:41" x14ac:dyDescent="0.25">
      <c r="A209" s="579" t="s">
        <v>58</v>
      </c>
      <c r="B209" s="580">
        <f>SUM(B200:B208)</f>
        <v>0</v>
      </c>
      <c r="C209" s="580"/>
      <c r="D209" s="581">
        <f>SUM(D200:D208)</f>
        <v>0</v>
      </c>
      <c r="E209" s="579"/>
      <c r="F209" s="579"/>
      <c r="G209" s="579"/>
      <c r="H209" s="579"/>
      <c r="I209" s="580">
        <f t="shared" ref="I209" si="820">SUM(I200:I208)</f>
        <v>0</v>
      </c>
      <c r="J209" s="580"/>
      <c r="K209" s="581">
        <f t="shared" ref="K209:L209" si="821">SUM(K200:K208)</f>
        <v>0</v>
      </c>
      <c r="L209" s="580">
        <f t="shared" si="821"/>
        <v>686</v>
      </c>
      <c r="M209" s="583"/>
      <c r="N209" s="583">
        <f t="shared" ref="N209:O209" si="822">SUM(N200:N208)</f>
        <v>100685</v>
      </c>
      <c r="O209" s="580">
        <f t="shared" si="822"/>
        <v>493</v>
      </c>
      <c r="P209" s="583"/>
      <c r="Q209" s="583">
        <f t="shared" ref="Q209:R209" si="823">SUM(Q200:Q208)</f>
        <v>71905</v>
      </c>
      <c r="R209" s="580">
        <f t="shared" si="823"/>
        <v>1289</v>
      </c>
      <c r="S209" s="583"/>
      <c r="T209" s="583">
        <f t="shared" ref="T209:U209" si="824">SUM(T200:T208)</f>
        <v>176745</v>
      </c>
      <c r="U209" s="580">
        <f t="shared" si="824"/>
        <v>1689</v>
      </c>
      <c r="V209" s="583"/>
      <c r="W209" s="583">
        <f t="shared" ref="W209:X209" si="825">SUM(W200:W208)</f>
        <v>305165</v>
      </c>
      <c r="X209" s="580">
        <f t="shared" si="825"/>
        <v>981</v>
      </c>
      <c r="Y209" s="583"/>
      <c r="Z209" s="583">
        <f t="shared" ref="Z209:AA209" si="826">SUM(Z200:Z208)</f>
        <v>183920</v>
      </c>
      <c r="AA209" s="580">
        <f t="shared" si="826"/>
        <v>668</v>
      </c>
      <c r="AB209" s="583"/>
      <c r="AC209" s="583">
        <f t="shared" ref="AC209:AD209" si="827">SUM(AC200:AC208)</f>
        <v>92228</v>
      </c>
      <c r="AD209" s="580">
        <f t="shared" si="827"/>
        <v>1695</v>
      </c>
      <c r="AE209" s="583"/>
      <c r="AF209" s="583">
        <f t="shared" ref="AF209:AG209" si="828">SUM(AF200:AF208)</f>
        <v>259424</v>
      </c>
      <c r="AG209" s="580">
        <f t="shared" si="828"/>
        <v>277</v>
      </c>
      <c r="AH209" s="583"/>
      <c r="AI209" s="583">
        <f t="shared" ref="AI209:AJ209" si="829">SUM(AI200:AI208)</f>
        <v>31319.4</v>
      </c>
      <c r="AJ209" s="580">
        <f t="shared" si="829"/>
        <v>1142</v>
      </c>
      <c r="AK209" s="583"/>
      <c r="AL209" s="583">
        <f t="shared" ref="AL209:AM209" si="830">SUM(AL200:AL208)</f>
        <v>204025</v>
      </c>
      <c r="AM209" s="580">
        <f t="shared" si="830"/>
        <v>1157</v>
      </c>
      <c r="AN209" s="583"/>
      <c r="AO209" s="583">
        <f t="shared" ref="AO209" si="831">SUM(AO200:AO208)</f>
        <v>71915</v>
      </c>
    </row>
    <row r="210" spans="1:41" x14ac:dyDescent="0.25">
      <c r="A210" s="575" t="s">
        <v>415</v>
      </c>
      <c r="B210" s="576"/>
      <c r="C210" s="576"/>
      <c r="D210" s="577">
        <f>B25</f>
        <v>62345</v>
      </c>
      <c r="E210" s="575"/>
      <c r="F210" s="575"/>
      <c r="G210" s="575"/>
      <c r="H210" s="575"/>
      <c r="I210" s="576"/>
      <c r="J210" s="576"/>
      <c r="K210" s="577">
        <f t="shared" ref="K210" si="832">I25</f>
        <v>170701</v>
      </c>
      <c r="L210" s="576"/>
      <c r="M210" s="582"/>
      <c r="N210" s="582">
        <f t="shared" ref="N210" si="833">L25</f>
        <v>123694</v>
      </c>
      <c r="O210" s="576"/>
      <c r="P210" s="582"/>
      <c r="Q210" s="582">
        <f t="shared" ref="Q210" si="834">O25</f>
        <v>89991</v>
      </c>
      <c r="R210" s="576"/>
      <c r="S210" s="582"/>
      <c r="T210" s="582">
        <f t="shared" ref="T210" si="835">R25</f>
        <v>239077</v>
      </c>
      <c r="U210" s="576"/>
      <c r="V210" s="582"/>
      <c r="W210" s="582">
        <f t="shared" ref="W210" si="836">U25</f>
        <v>390507</v>
      </c>
      <c r="X210" s="576"/>
      <c r="Y210" s="582"/>
      <c r="Z210" s="582">
        <f t="shared" ref="Z210" si="837">X25</f>
        <v>231430</v>
      </c>
      <c r="AA210" s="576"/>
      <c r="AB210" s="582"/>
      <c r="AC210" s="582">
        <f t="shared" ref="AC210" si="838">AA25</f>
        <v>115113</v>
      </c>
      <c r="AD210" s="576"/>
      <c r="AE210" s="582"/>
      <c r="AF210" s="582">
        <f t="shared" ref="AF210" si="839">AD25</f>
        <v>324435</v>
      </c>
      <c r="AG210" s="576"/>
      <c r="AH210" s="582"/>
      <c r="AI210" s="582">
        <f t="shared" ref="AI210" si="840">AG25</f>
        <v>36248</v>
      </c>
      <c r="AJ210" s="576"/>
      <c r="AK210" s="582"/>
      <c r="AL210" s="582">
        <f t="shared" ref="AL210" si="841">AJ25</f>
        <v>249219</v>
      </c>
      <c r="AM210" s="576"/>
      <c r="AN210" s="582"/>
      <c r="AO210" s="582">
        <f t="shared" ref="AO210" si="842">AM25</f>
        <v>84047</v>
      </c>
    </row>
    <row r="211" spans="1:41" x14ac:dyDescent="0.25">
      <c r="A211" s="575" t="s">
        <v>414</v>
      </c>
      <c r="B211" s="576"/>
      <c r="C211" s="576"/>
      <c r="D211" s="578"/>
      <c r="E211" s="575"/>
      <c r="F211" s="575"/>
      <c r="G211" s="575"/>
      <c r="H211" s="575"/>
      <c r="I211" s="576"/>
      <c r="J211" s="576"/>
      <c r="K211" s="578"/>
      <c r="L211" s="576"/>
      <c r="M211" s="576"/>
      <c r="N211" s="578">
        <f t="shared" ref="N211" si="843">N209/N210</f>
        <v>0.81398451016217443</v>
      </c>
      <c r="O211" s="576"/>
      <c r="P211" s="576"/>
      <c r="Q211" s="578">
        <f t="shared" ref="Q211" si="844">Q209/Q210</f>
        <v>0.79902434687913237</v>
      </c>
      <c r="R211" s="576"/>
      <c r="S211" s="576"/>
      <c r="T211" s="578">
        <f t="shared" ref="T211" si="845">T209/T210</f>
        <v>0.73928065016710098</v>
      </c>
      <c r="U211" s="576"/>
      <c r="V211" s="576"/>
      <c r="W211" s="578">
        <f t="shared" ref="W211" si="846">W209/W210</f>
        <v>0.78145846297249477</v>
      </c>
      <c r="X211" s="576"/>
      <c r="Y211" s="576"/>
      <c r="Z211" s="578">
        <f t="shared" ref="Z211" si="847">Z209/Z210</f>
        <v>0.79471114375837182</v>
      </c>
      <c r="AA211" s="576"/>
      <c r="AB211" s="576"/>
      <c r="AC211" s="578">
        <f t="shared" ref="AC211" si="848">AC209/AC210</f>
        <v>0.80119534718059648</v>
      </c>
      <c r="AD211" s="576"/>
      <c r="AE211" s="576"/>
      <c r="AF211" s="578">
        <f t="shared" ref="AF211" si="849">AF209/AF210</f>
        <v>0.79961779709340852</v>
      </c>
      <c r="AG211" s="576"/>
      <c r="AH211" s="576"/>
      <c r="AI211" s="578">
        <f t="shared" ref="AI211" si="850">AI209/AI210</f>
        <v>0.86403111895828744</v>
      </c>
      <c r="AJ211" s="576"/>
      <c r="AK211" s="576"/>
      <c r="AL211" s="578">
        <f t="shared" ref="AL211" si="851">AL209/AL210</f>
        <v>0.8186574859862209</v>
      </c>
      <c r="AM211" s="576"/>
      <c r="AN211" s="576"/>
      <c r="AO211" s="578">
        <f>AO209/AO210</f>
        <v>0.85565219460539932</v>
      </c>
    </row>
  </sheetData>
  <sheetProtection algorithmName="SHA-512" hashValue="XmQIm2XhkS+3kES0OwwHzYjjjnfTJe9ey6ICT/NMP7psuXNw10yT8iBxvLnjo3zwH+ytBZQVk3n9GMvXYdXMuw==" saltValue="c4Z3b6DuD5x0IRhJcD0/5A==" spinCount="100000" sheet="1" objects="1" scenarios="1"/>
  <mergeCells count="101">
    <mergeCell ref="AP199:AQ199"/>
    <mergeCell ref="B2:D2"/>
    <mergeCell ref="R156:T156"/>
    <mergeCell ref="AJ156:AL156"/>
    <mergeCell ref="AM27:AN27"/>
    <mergeCell ref="AP28:AQ28"/>
    <mergeCell ref="AP53:AQ53"/>
    <mergeCell ref="AP77:AQ77"/>
    <mergeCell ref="AM52:AN52"/>
    <mergeCell ref="AM76:AN76"/>
    <mergeCell ref="AP105:AQ105"/>
    <mergeCell ref="AM107:AN107"/>
    <mergeCell ref="AM186:AN186"/>
    <mergeCell ref="AM191:AN191"/>
    <mergeCell ref="AP192:AQ192"/>
    <mergeCell ref="AM161:AN161"/>
    <mergeCell ref="AM166:AN166"/>
    <mergeCell ref="AM171:AN171"/>
    <mergeCell ref="AM176:AN176"/>
    <mergeCell ref="AM181:AN181"/>
    <mergeCell ref="AP162:AQ162"/>
    <mergeCell ref="AP172:AQ172"/>
    <mergeCell ref="AP182:AQ182"/>
    <mergeCell ref="AP187:AQ187"/>
    <mergeCell ref="AP177:AQ177"/>
    <mergeCell ref="AP167:AQ167"/>
    <mergeCell ref="CS3:CT3"/>
    <mergeCell ref="CS4:CT4"/>
    <mergeCell ref="CU3:CV3"/>
    <mergeCell ref="CW3:CX3"/>
    <mergeCell ref="CY3:CZ3"/>
    <mergeCell ref="DC3:DD3"/>
    <mergeCell ref="DE3:DF3"/>
    <mergeCell ref="BG3:BI3"/>
    <mergeCell ref="BA3:BC3"/>
    <mergeCell ref="BU3:BV3"/>
    <mergeCell ref="BW3:BX3"/>
    <mergeCell ref="BY3:BZ3"/>
    <mergeCell ref="CA3:CB3"/>
    <mergeCell ref="CC3:CD3"/>
    <mergeCell ref="BO3:BP3"/>
    <mergeCell ref="BQ3:BR3"/>
    <mergeCell ref="BS3:BT3"/>
    <mergeCell ref="BD3:BF3"/>
    <mergeCell ref="AV108:AX108"/>
    <mergeCell ref="AV131:AX131"/>
    <mergeCell ref="DK4:DL4"/>
    <mergeCell ref="DM4:DN4"/>
    <mergeCell ref="DO4:DP4"/>
    <mergeCell ref="CO3:CP3"/>
    <mergeCell ref="CQ3:CR3"/>
    <mergeCell ref="DI3:DJ3"/>
    <mergeCell ref="DK3:DL3"/>
    <mergeCell ref="DM3:DN3"/>
    <mergeCell ref="DO3:DP3"/>
    <mergeCell ref="CU4:CV4"/>
    <mergeCell ref="CW4:CX4"/>
    <mergeCell ref="CY4:CZ4"/>
    <mergeCell ref="DA4:DB4"/>
    <mergeCell ref="DC4:DD4"/>
    <mergeCell ref="DE4:DF4"/>
    <mergeCell ref="DA3:DB3"/>
    <mergeCell ref="DG3:DH3"/>
    <mergeCell ref="DG4:DH4"/>
    <mergeCell ref="DI4:DJ4"/>
    <mergeCell ref="DO1:DP1"/>
    <mergeCell ref="CS1:CT1"/>
    <mergeCell ref="DA1:DB1"/>
    <mergeCell ref="BJ3:BL3"/>
    <mergeCell ref="CI2:CJ2"/>
    <mergeCell ref="CK2:CL2"/>
    <mergeCell ref="CM2:CN2"/>
    <mergeCell ref="CO2:CP2"/>
    <mergeCell ref="CQ2:CR2"/>
    <mergeCell ref="BU2:BV2"/>
    <mergeCell ref="BW2:BX2"/>
    <mergeCell ref="BY2:BZ2"/>
    <mergeCell ref="CA2:CB2"/>
    <mergeCell ref="CC2:CD2"/>
    <mergeCell ref="CE1:CF1"/>
    <mergeCell ref="CQ1:CR1"/>
    <mergeCell ref="CG3:CH3"/>
    <mergeCell ref="CI3:CJ3"/>
    <mergeCell ref="CK3:CL3"/>
    <mergeCell ref="CE2:CF2"/>
    <mergeCell ref="CG2:CH2"/>
    <mergeCell ref="CE3:CF3"/>
    <mergeCell ref="CM3:CN3"/>
    <mergeCell ref="DC1:DD1"/>
    <mergeCell ref="B158:C158"/>
    <mergeCell ref="AP108:AR108"/>
    <mergeCell ref="AS108:AU108"/>
    <mergeCell ref="I101:J101"/>
    <mergeCell ref="U101:V101"/>
    <mergeCell ref="AG102:AH102"/>
    <mergeCell ref="AA102:AB102"/>
    <mergeCell ref="L102:M102"/>
    <mergeCell ref="X101:Y101"/>
    <mergeCell ref="AP131:AR131"/>
    <mergeCell ref="AS131:AU131"/>
    <mergeCell ref="AD158:AE158"/>
  </mergeCells>
  <phoneticPr fontId="5" type="noConversion"/>
  <conditionalFormatting sqref="B109:B129 I109:I129 L109:L129 O109:O129 R109:R129 U109:U129 X109:X129 AA109:AA129 AD109:AD129 AG109:AG129 AJ109:AJ129 AM109:AM129 AP109:AP129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5 I155 L155 O155 R155 U155 X155 AA155 AD155 AG155 AJ155 AP155 AS155 AV15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7 I157 L157 O157 R157 U157 X157 AA157 AD157 AG157 AJ157 AP157 AS157 AV157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9:C50 E29:J50 L29:AQ50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4:C74 E54:J74 L54:AQ7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8:C98 E78:J98 L78:AQ98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0:C100 E100:J100 L100:AO100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3:C165 E163:J165 L163:AQ165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8:C170 E168:J170 L168:AQ170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3:C175 E173:J175 L173:AQ175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8:C180 E178:J180 L178:AQ180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3:C185 E183:J185 L183:AQ185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8:C190 E188:J190 L188:AQ190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3:C196 E193:J196 L193:AQ196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9:C129 J109:J129 M109:M129 P109:P129 S109:S129 V109:V129 Y109:Y129 AB109:AB129 AE109:AE129 AH109:AH129 AK109:AK129 AN109:AN129 AQ109:AQ129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2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2:D152 K132:K152 N132:N152 Q132:Q152 T132:T152 W132:W152 Z132:Z152 AC132:AC152 AF132:AF152 AI132:AI152 AL132:AL152 AR132:AR152 AU132:AU152 AX132:AX152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7 K157 N157 Q157 T157 W157 Z157 AC157 AF157 AI157 AL157 AR157 AU157 AX157">
    <cfRule type="colorScale" priority="16">
      <colorScale>
        <cfvo type="min"/>
        <cfvo type="num" val="0"/>
        <cfvo type="max"/>
        <color rgb="FFFF0000"/>
        <color rgb="FF00B050"/>
        <color rgb="FFFF0000"/>
      </colorScale>
    </cfRule>
  </conditionalFormatting>
  <conditionalFormatting sqref="I106 B106 L106 O106 R106 U106 X106 AA106 AD106 AG106 AJ106 AP106 AM10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4 B154 L154 O154 R154 U154 X154 AA154 AD154 AG154 AJ154 AP154 AS154 AV15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6 C106 M106:N106 P106:Q106 S106:T106 V106:W106 Y106:Z106 AB106:AC106 AE106:AF106 AH106:AI106 AK106:AL106 AN106:AO106 AQ106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K2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4 D154 N154 Q154 T154 W154 Z154 AC154 AF154 AI154 AL154 AR154 AU154 AX154">
    <cfRule type="colorScale" priority="18">
      <colorScale>
        <cfvo type="min"/>
        <cfvo type="num" val="0"/>
        <cfvo type="max"/>
        <color rgb="FFFF0000"/>
        <color rgb="FF00B050"/>
        <color rgb="FFFF0000"/>
      </colorScale>
    </cfRule>
  </conditionalFormatting>
  <conditionalFormatting sqref="N5:N2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2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2:R152 B132:B153 I132:I153 L132:L153 O132:O153 U132:U152 X132:X153 AA132:AA153 AD132:AD153 AG132:AG153 AJ132:AJ153 AP132:AP153 AS132:AS153 AV132:AV153">
    <cfRule type="colorScale" priority="3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R153:S153 U153">
    <cfRule type="colorScale" priority="2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132:S152 C132:C153 J132:J153 AQ132:AQ153 AT132:AT153 AW132:AW153 M132:M153 P132:P153 V132:V153 Y132:Y153 AB132:AB153 AE132:AE153 AH132:AH153 AK132:AK153">
    <cfRule type="colorScale" priority="29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T5:T2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:W2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5:Z2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:AC2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5:AF2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5:AI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5:AL2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11 AO211 AI211 AF211 AC211 Z211 W211 T211 Q211 N2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5:AO2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109:AV129 AS109:AS129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09:AW129 AT109:AT129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54 AT154 AQ154 AK154 AH154 AE154 AB154 Y154 V154 S154 P154 M154 J154 C154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155 AT155 AQ155 AK155 AH155 AE155 AB155 Y155 V155 S155 P155 M155 J155 C15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157 AT157 AQ157 AK157 AH157 AE157 AB157 Y157 V157 S157 P157 M157 J157 C157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109:AX129 AU109:AU129 AR109:AR129 AO109:AO129 AL109:AL129 AI109:AI129 AF109:AF129 AC109:AC129 Z109:Z129 W109:W129 T109:T129 Q109:Q129 N109:N129 K109:K129 D109:D12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155 AU155 AR155 AL155 AI155 AF155 AC155 Z155 W155 T155 Q155 N155 K155 D155">
    <cfRule type="colorScale" priority="17">
      <colorScale>
        <cfvo type="min"/>
        <cfvo type="num" val="0"/>
        <cfvo type="max"/>
        <color rgb="FFFF0000"/>
        <color rgb="FF00B050"/>
        <color rgb="FFFF0000"/>
      </colorScale>
    </cfRule>
  </conditionalFormatting>
  <conditionalFormatting sqref="BA27:BA28 BA5:BA25 BD5:BD25 BD27:BD28 BG5:BG25 BG27:BG28 BJ5:BJ25 BJ27:BJ28">
    <cfRule type="colorScale" priority="10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27:BB28 BB5:BB25 BE5:BE25 BE27:BE28 BH5:BH25 BH27:BH28 BK5:BK25 BK27:BK28">
    <cfRule type="colorScale" priority="1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27:BF28 BF5:BF25 BC5:BC25 BC27:BC28 BI5:BI25 BI27:BI28 BL5:BL25 BL27:BL28">
    <cfRule type="colorScale" priority="1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O5:BT25">
    <cfRule type="colorScale" priority="10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U5:CR25">
    <cfRule type="colorScale" priority="10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T5:DP25">
    <cfRule type="colorScale" priority="10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ignoredErrors>
    <ignoredError sqref="AS106:AS107 J107 L107:M107 O107:P107 R107:S107 U107:V107 X107:Y107 AA107:AB107 AD107:AE107 AG107:AH107 AJ107:AK107 AM106:AN106 AP106:AQ107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Übersicht &amp; Anleitung</vt:lpstr>
      <vt:lpstr>CF-Guide</vt:lpstr>
      <vt:lpstr>Vergleich</vt:lpstr>
      <vt:lpstr>'CF-Guide'!Druckbereich</vt:lpstr>
      <vt:lpstr>'Übersicht &amp; Anleitung'!Druckbereich</vt:lpstr>
      <vt:lpstr>'CF-Guide'!Drucktitel</vt:lpstr>
      <vt:lpstr>'Übersicht &amp; Anleitung'!Drucktitel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Gernot</dc:creator>
  <cp:lastModifiedBy>Gernot Ohrner</cp:lastModifiedBy>
  <cp:lastPrinted>2024-03-17T01:44:48Z</cp:lastPrinted>
  <dcterms:created xsi:type="dcterms:W3CDTF">2021-01-19T21:15:58Z</dcterms:created>
  <dcterms:modified xsi:type="dcterms:W3CDTF">2024-04-24T22:16:39Z</dcterms:modified>
</cp:coreProperties>
</file>