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DSA\CFs\DSK\Schleichender Verfall\"/>
    </mc:Choice>
  </mc:AlternateContent>
  <xr:revisionPtr revIDLastSave="0" documentId="13_ncr:1_{966B1312-F4EB-4C82-9005-F3A89AD8C60A}" xr6:coauthVersionLast="47" xr6:coauthVersionMax="47" xr10:uidLastSave="{00000000-0000-0000-0000-000000000000}"/>
  <bookViews>
    <workbookView xWindow="38280" yWindow="-120" windowWidth="38640" windowHeight="21390" xr2:uid="{3C0DC3EB-12BA-4DE2-BE53-BC5B92B614A4}"/>
  </bookViews>
  <sheets>
    <sheet name="Schleichender Verfall" sheetId="1" r:id="rId1"/>
    <sheet name="Vergleich" sheetId="2" state="hidden" r:id="rId2"/>
  </sheets>
  <definedNames>
    <definedName name="_xlnm.Print_Area" localSheetId="0">'Schleichender Verfall'!$A$5:$Q$199</definedName>
    <definedName name="_xlnm.Print_Titles" localSheetId="0">'Schleichender Verfall'!$5:$15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60" i="1" l="1"/>
  <c r="AK159" i="1"/>
  <c r="AJ159" i="1"/>
  <c r="AI159" i="1"/>
  <c r="AH159" i="1"/>
  <c r="AC159" i="1"/>
  <c r="AK158" i="1"/>
  <c r="AJ158" i="1"/>
  <c r="AI158" i="1"/>
  <c r="AH158" i="1"/>
  <c r="AC158" i="1"/>
  <c r="AK157" i="1"/>
  <c r="AJ157" i="1"/>
  <c r="AI157" i="1"/>
  <c r="AH157" i="1"/>
  <c r="AC157" i="1"/>
  <c r="AK156" i="1"/>
  <c r="AJ156" i="1"/>
  <c r="AI156" i="1"/>
  <c r="AH156" i="1"/>
  <c r="AC156" i="1"/>
  <c r="AH154" i="1"/>
  <c r="AI154" i="1"/>
  <c r="AJ154" i="1"/>
  <c r="AK154" i="1"/>
  <c r="AH155" i="1"/>
  <c r="AI155" i="1"/>
  <c r="AJ155" i="1"/>
  <c r="AK155" i="1"/>
  <c r="AC154" i="1"/>
  <c r="AC155" i="1"/>
  <c r="AK153" i="1"/>
  <c r="AJ153" i="1"/>
  <c r="AI153" i="1"/>
  <c r="AH153" i="1"/>
  <c r="AC153" i="1"/>
  <c r="AK152" i="1"/>
  <c r="AJ152" i="1"/>
  <c r="AI152" i="1"/>
  <c r="AH152" i="1"/>
  <c r="AC152" i="1"/>
  <c r="AK151" i="1"/>
  <c r="AJ151" i="1"/>
  <c r="AI151" i="1"/>
  <c r="AH151" i="1"/>
  <c r="AK150" i="1"/>
  <c r="AJ150" i="1"/>
  <c r="AI150" i="1"/>
  <c r="AH150" i="1"/>
  <c r="AC151" i="1"/>
  <c r="AC150" i="1"/>
  <c r="AK149" i="1"/>
  <c r="AJ149" i="1"/>
  <c r="AI149" i="1"/>
  <c r="AH149" i="1"/>
  <c r="AK148" i="1"/>
  <c r="AJ148" i="1"/>
  <c r="AI148" i="1"/>
  <c r="AH148" i="1"/>
  <c r="AC149" i="1"/>
  <c r="AC148" i="1"/>
  <c r="AH147" i="1"/>
  <c r="AI147" i="1"/>
  <c r="AJ147" i="1"/>
  <c r="AK147" i="1"/>
  <c r="AC147" i="1"/>
  <c r="AH146" i="1"/>
  <c r="AI146" i="1"/>
  <c r="AJ146" i="1"/>
  <c r="AK146" i="1"/>
  <c r="AC146" i="1"/>
  <c r="AG9" i="2"/>
  <c r="AH9" i="2"/>
  <c r="AG7" i="2"/>
  <c r="AH7" i="2"/>
  <c r="AG8" i="2"/>
  <c r="AH8" i="2"/>
  <c r="AH145" i="1"/>
  <c r="AI145" i="1"/>
  <c r="AJ145" i="1"/>
  <c r="AK145" i="1"/>
  <c r="AC145" i="1"/>
  <c r="AH144" i="1"/>
  <c r="AI144" i="1"/>
  <c r="AJ144" i="1"/>
  <c r="AK144" i="1"/>
  <c r="AC144" i="1"/>
  <c r="AH143" i="1"/>
  <c r="AI143" i="1"/>
  <c r="AJ143" i="1"/>
  <c r="AK143" i="1"/>
  <c r="AC143" i="1"/>
  <c r="H164" i="1"/>
  <c r="G164" i="1"/>
  <c r="CD183" i="1"/>
  <c r="CD182" i="1"/>
  <c r="CD181" i="1"/>
  <c r="CD180" i="1"/>
  <c r="CD179" i="1"/>
  <c r="CD178" i="1"/>
  <c r="CD177" i="1"/>
  <c r="CD176" i="1"/>
  <c r="CD175" i="1"/>
  <c r="CD174" i="1"/>
  <c r="CD173" i="1"/>
  <c r="CD172" i="1"/>
  <c r="CD171" i="1"/>
  <c r="CD170" i="1"/>
  <c r="CD169" i="1"/>
  <c r="CD168" i="1"/>
  <c r="CD167" i="1"/>
  <c r="CD166" i="1"/>
  <c r="CD165" i="1"/>
  <c r="CB183" i="1"/>
  <c r="CB182" i="1"/>
  <c r="CB181" i="1"/>
  <c r="CB180" i="1"/>
  <c r="CB179" i="1"/>
  <c r="CB178" i="1"/>
  <c r="CB177" i="1"/>
  <c r="CB176" i="1"/>
  <c r="CB175" i="1"/>
  <c r="CB174" i="1"/>
  <c r="CB173" i="1"/>
  <c r="CB172" i="1"/>
  <c r="CB171" i="1"/>
  <c r="CB170" i="1"/>
  <c r="CB169" i="1"/>
  <c r="CB168" i="1"/>
  <c r="CB167" i="1"/>
  <c r="CB166" i="1"/>
  <c r="CB165" i="1"/>
  <c r="AN140" i="1"/>
  <c r="AO140" i="1" s="1"/>
  <c r="AN141" i="1"/>
  <c r="AO141" i="1" s="1"/>
  <c r="AN142" i="1"/>
  <c r="AN139" i="1"/>
  <c r="AL140" i="1"/>
  <c r="AM140" i="1" s="1"/>
  <c r="AL141" i="1"/>
  <c r="AM141" i="1" s="1"/>
  <c r="AL142" i="1"/>
  <c r="AM142" i="1" s="1"/>
  <c r="AL139" i="1"/>
  <c r="AM139" i="1" s="1"/>
  <c r="AL138" i="1"/>
  <c r="AN167" i="1"/>
  <c r="AL167" i="1"/>
  <c r="AN166" i="1"/>
  <c r="AL166" i="1"/>
  <c r="AN165" i="1"/>
  <c r="AL165" i="1"/>
  <c r="AG6" i="2"/>
  <c r="AH6" i="2"/>
  <c r="AR140" i="1"/>
  <c r="AV140" i="1" s="1"/>
  <c r="AR141" i="1"/>
  <c r="AV141" i="1" s="1"/>
  <c r="AR142" i="1"/>
  <c r="AV142" i="1" s="1"/>
  <c r="AR139" i="1"/>
  <c r="AP140" i="1"/>
  <c r="AQ140" i="1" s="1"/>
  <c r="AP141" i="1"/>
  <c r="AT141" i="1" s="1"/>
  <c r="AU141" i="1" s="1"/>
  <c r="AP142" i="1"/>
  <c r="AT142" i="1" s="1"/>
  <c r="AU142" i="1" s="1"/>
  <c r="AC142" i="1"/>
  <c r="AH142" i="1"/>
  <c r="AI142" i="1"/>
  <c r="AJ142" i="1"/>
  <c r="AK142" i="1"/>
  <c r="CH167" i="1"/>
  <c r="CH168" i="1"/>
  <c r="CH169" i="1"/>
  <c r="CH170" i="1"/>
  <c r="CH171" i="1"/>
  <c r="CH172" i="1"/>
  <c r="CH173" i="1"/>
  <c r="CH174" i="1"/>
  <c r="CH175" i="1"/>
  <c r="CH176" i="1"/>
  <c r="CH177" i="1"/>
  <c r="CH178" i="1"/>
  <c r="CH179" i="1"/>
  <c r="CH180" i="1"/>
  <c r="CH181" i="1"/>
  <c r="CH182" i="1"/>
  <c r="CH183" i="1"/>
  <c r="CH166" i="1"/>
  <c r="CF167" i="1"/>
  <c r="CF168" i="1"/>
  <c r="CF169" i="1"/>
  <c r="CF170" i="1"/>
  <c r="CF171" i="1"/>
  <c r="CF172" i="1"/>
  <c r="CF173" i="1"/>
  <c r="CF174" i="1"/>
  <c r="CF175" i="1"/>
  <c r="CF176" i="1"/>
  <c r="CF177" i="1"/>
  <c r="CF178" i="1"/>
  <c r="CF179" i="1"/>
  <c r="CF180" i="1"/>
  <c r="CF181" i="1"/>
  <c r="CF182" i="1"/>
  <c r="CF183" i="1"/>
  <c r="CF166" i="1"/>
  <c r="K118" i="1"/>
  <c r="J118" i="1"/>
  <c r="I118" i="1"/>
  <c r="H118" i="1"/>
  <c r="E118" i="1"/>
  <c r="CF165" i="1"/>
  <c r="CG165" i="1" s="1"/>
  <c r="CH165" i="1"/>
  <c r="CI165" i="1" s="1"/>
  <c r="L14" i="1"/>
  <c r="K14" i="1"/>
  <c r="J14" i="1"/>
  <c r="I14" i="1"/>
  <c r="H14" i="1"/>
  <c r="G14" i="1"/>
  <c r="F14" i="1"/>
  <c r="CP168" i="1"/>
  <c r="CP169" i="1"/>
  <c r="CP170" i="1"/>
  <c r="CP171" i="1"/>
  <c r="CP172" i="1"/>
  <c r="CP173" i="1"/>
  <c r="CP175" i="1"/>
  <c r="CP176" i="1"/>
  <c r="CP177" i="1"/>
  <c r="CP178" i="1"/>
  <c r="CP179" i="1"/>
  <c r="CP180" i="1"/>
  <c r="CP181" i="1"/>
  <c r="CP182" i="1"/>
  <c r="AN170" i="1" l="1"/>
  <c r="AN143" i="1" s="1"/>
  <c r="AN144" i="1" s="1"/>
  <c r="AL170" i="1"/>
  <c r="AL143" i="1" s="1"/>
  <c r="AL144" i="1" s="1"/>
  <c r="AL145" i="1" s="1"/>
  <c r="AL146" i="1" s="1"/>
  <c r="AL147" i="1" s="1"/>
  <c r="AL148" i="1" s="1"/>
  <c r="AL149" i="1" s="1"/>
  <c r="AL150" i="1" s="1"/>
  <c r="AL151" i="1" s="1"/>
  <c r="AL152" i="1" s="1"/>
  <c r="AL153" i="1" s="1"/>
  <c r="AL154" i="1" s="1"/>
  <c r="AL155" i="1" s="1"/>
  <c r="AL156" i="1" s="1"/>
  <c r="AL157" i="1" s="1"/>
  <c r="AL158" i="1" s="1"/>
  <c r="AL159" i="1" s="1"/>
  <c r="AL160" i="1" s="1"/>
  <c r="AO142" i="1"/>
  <c r="CD184" i="1"/>
  <c r="CB184" i="1"/>
  <c r="AQ141" i="1"/>
  <c r="AQ142" i="1"/>
  <c r="AT140" i="1"/>
  <c r="AU140" i="1" s="1"/>
  <c r="S109" i="1"/>
  <c r="S108" i="1"/>
  <c r="S107" i="1"/>
  <c r="M115" i="1"/>
  <c r="L115" i="1"/>
  <c r="G94" i="1"/>
  <c r="F94" i="1"/>
  <c r="G93" i="1"/>
  <c r="F93" i="1"/>
  <c r="G92" i="1"/>
  <c r="F92" i="1"/>
  <c r="G91" i="1"/>
  <c r="F91" i="1"/>
  <c r="G90" i="1"/>
  <c r="F90" i="1"/>
  <c r="F89" i="1"/>
  <c r="S110" i="1"/>
  <c r="F118" i="1" l="1"/>
  <c r="F122" i="1" s="1"/>
  <c r="G118" i="1"/>
  <c r="G124" i="1" s="1"/>
  <c r="AN145" i="1"/>
  <c r="AC141" i="1"/>
  <c r="BG39" i="2"/>
  <c r="BF39" i="2"/>
  <c r="BG40" i="2" s="1"/>
  <c r="BG34" i="2"/>
  <c r="BF34" i="2"/>
  <c r="BG35" i="2" s="1"/>
  <c r="BG29" i="2"/>
  <c r="BF29" i="2"/>
  <c r="BG30" i="2" s="1"/>
  <c r="BG24" i="2"/>
  <c r="BF24" i="2"/>
  <c r="BG25" i="2" s="1"/>
  <c r="BG19" i="2"/>
  <c r="BF19" i="2"/>
  <c r="BG20" i="2" s="1"/>
  <c r="BG14" i="2"/>
  <c r="BF14" i="2"/>
  <c r="BG15" i="2" s="1"/>
  <c r="BG9" i="2"/>
  <c r="BG10" i="2" s="1"/>
  <c r="BF9" i="2"/>
  <c r="AH4" i="2"/>
  <c r="AG4" i="2"/>
  <c r="AN146" i="1" l="1"/>
  <c r="F123" i="1"/>
  <c r="AN147" i="1" l="1"/>
  <c r="AH139" i="1"/>
  <c r="AI139" i="1"/>
  <c r="AJ139" i="1"/>
  <c r="AK139" i="1"/>
  <c r="AH140" i="1"/>
  <c r="AI140" i="1"/>
  <c r="AJ140" i="1"/>
  <c r="AK140" i="1"/>
  <c r="AK138" i="1"/>
  <c r="AJ138" i="1"/>
  <c r="AI138" i="1"/>
  <c r="AH138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AD23" i="2"/>
  <c r="AC23" i="2"/>
  <c r="AD22" i="2"/>
  <c r="AC22" i="2"/>
  <c r="AD21" i="2"/>
  <c r="AC21" i="2"/>
  <c r="AD20" i="2"/>
  <c r="AC20" i="2"/>
  <c r="AD19" i="2"/>
  <c r="AC19" i="2"/>
  <c r="AD18" i="2"/>
  <c r="AC18" i="2"/>
  <c r="AD17" i="2"/>
  <c r="AC17" i="2"/>
  <c r="AD16" i="2"/>
  <c r="AC16" i="2"/>
  <c r="AD15" i="2"/>
  <c r="AC15" i="2"/>
  <c r="AD14" i="2"/>
  <c r="AC14" i="2"/>
  <c r="AD13" i="2"/>
  <c r="AC13" i="2"/>
  <c r="AD12" i="2"/>
  <c r="AC12" i="2"/>
  <c r="AD11" i="2"/>
  <c r="AC11" i="2"/>
  <c r="AD10" i="2"/>
  <c r="AC10" i="2"/>
  <c r="AD9" i="2"/>
  <c r="AC9" i="2"/>
  <c r="AD8" i="2"/>
  <c r="AC8" i="2"/>
  <c r="AD7" i="2"/>
  <c r="AC7" i="2"/>
  <c r="AD6" i="2"/>
  <c r="AC6" i="2"/>
  <c r="AD5" i="2"/>
  <c r="AC5" i="2"/>
  <c r="AD4" i="2"/>
  <c r="AC4" i="2"/>
  <c r="AD24" i="2"/>
  <c r="AC24" i="2"/>
  <c r="BM160" i="1"/>
  <c r="BM159" i="1"/>
  <c r="BM158" i="1"/>
  <c r="BM157" i="1"/>
  <c r="BM156" i="1"/>
  <c r="BM155" i="1"/>
  <c r="BM154" i="1"/>
  <c r="BM153" i="1"/>
  <c r="BM152" i="1"/>
  <c r="BM151" i="1"/>
  <c r="BM150" i="1"/>
  <c r="BM149" i="1"/>
  <c r="BM148" i="1"/>
  <c r="BM147" i="1"/>
  <c r="BM146" i="1"/>
  <c r="BM145" i="1"/>
  <c r="BM144" i="1"/>
  <c r="BM143" i="1"/>
  <c r="BM142" i="1"/>
  <c r="BM141" i="1"/>
  <c r="BM140" i="1"/>
  <c r="BK160" i="1"/>
  <c r="BL160" i="1" s="1"/>
  <c r="BJ160" i="1"/>
  <c r="BN160" i="1" s="1"/>
  <c r="BK159" i="1"/>
  <c r="BL159" i="1" s="1"/>
  <c r="BJ159" i="1"/>
  <c r="BN159" i="1" s="1"/>
  <c r="BK158" i="1"/>
  <c r="BL158" i="1" s="1"/>
  <c r="BJ158" i="1"/>
  <c r="BN158" i="1" s="1"/>
  <c r="BK157" i="1"/>
  <c r="BL157" i="1" s="1"/>
  <c r="BJ157" i="1"/>
  <c r="BN157" i="1" s="1"/>
  <c r="BK156" i="1"/>
  <c r="BL156" i="1" s="1"/>
  <c r="BJ156" i="1"/>
  <c r="BN156" i="1" s="1"/>
  <c r="BK155" i="1"/>
  <c r="BL155" i="1" s="1"/>
  <c r="BJ155" i="1"/>
  <c r="BN155" i="1" s="1"/>
  <c r="BK154" i="1"/>
  <c r="BL154" i="1" s="1"/>
  <c r="BJ154" i="1"/>
  <c r="BN154" i="1" s="1"/>
  <c r="BK153" i="1"/>
  <c r="BL153" i="1" s="1"/>
  <c r="BJ153" i="1"/>
  <c r="BN153" i="1" s="1"/>
  <c r="BK152" i="1"/>
  <c r="BL152" i="1" s="1"/>
  <c r="BJ152" i="1"/>
  <c r="BN152" i="1" s="1"/>
  <c r="BK151" i="1"/>
  <c r="BL151" i="1" s="1"/>
  <c r="BJ151" i="1"/>
  <c r="BN151" i="1" s="1"/>
  <c r="BK150" i="1"/>
  <c r="BL150" i="1" s="1"/>
  <c r="BJ150" i="1"/>
  <c r="BN150" i="1" s="1"/>
  <c r="BK149" i="1"/>
  <c r="BL149" i="1" s="1"/>
  <c r="BJ149" i="1"/>
  <c r="BN149" i="1" s="1"/>
  <c r="BK148" i="1"/>
  <c r="BL148" i="1" s="1"/>
  <c r="BJ148" i="1"/>
  <c r="BN148" i="1" s="1"/>
  <c r="BK147" i="1"/>
  <c r="BL147" i="1" s="1"/>
  <c r="BJ147" i="1"/>
  <c r="BN147" i="1" s="1"/>
  <c r="BK146" i="1"/>
  <c r="BL146" i="1" s="1"/>
  <c r="BJ146" i="1"/>
  <c r="BN146" i="1" s="1"/>
  <c r="BK145" i="1"/>
  <c r="BL145" i="1" s="1"/>
  <c r="BJ145" i="1"/>
  <c r="BN145" i="1" s="1"/>
  <c r="BK144" i="1"/>
  <c r="BL144" i="1" s="1"/>
  <c r="BJ144" i="1"/>
  <c r="BN144" i="1" s="1"/>
  <c r="BK143" i="1"/>
  <c r="BL143" i="1" s="1"/>
  <c r="BJ143" i="1"/>
  <c r="BN143" i="1" s="1"/>
  <c r="BK142" i="1"/>
  <c r="BL142" i="1" s="1"/>
  <c r="BJ142" i="1"/>
  <c r="BN142" i="1" s="1"/>
  <c r="BK141" i="1"/>
  <c r="BL141" i="1" s="1"/>
  <c r="BJ141" i="1"/>
  <c r="BN141" i="1" s="1"/>
  <c r="BK140" i="1"/>
  <c r="BL140" i="1" s="1"/>
  <c r="BJ140" i="1"/>
  <c r="BN140" i="1" s="1"/>
  <c r="AN148" i="1" l="1"/>
  <c r="BN165" i="1"/>
  <c r="BO165" i="1" s="1"/>
  <c r="BL165" i="1"/>
  <c r="BM165" i="1" s="1"/>
  <c r="BD9" i="2"/>
  <c r="BE39" i="2"/>
  <c r="BE9" i="2"/>
  <c r="BE14" i="2"/>
  <c r="BD19" i="2"/>
  <c r="BE19" i="2"/>
  <c r="BD24" i="2"/>
  <c r="BE34" i="2"/>
  <c r="BD14" i="2"/>
  <c r="BE24" i="2"/>
  <c r="BD29" i="2"/>
  <c r="BE29" i="2"/>
  <c r="BD34" i="2"/>
  <c r="BO140" i="1"/>
  <c r="BO141" i="1" s="1"/>
  <c r="BO142" i="1" s="1"/>
  <c r="BO143" i="1" s="1"/>
  <c r="BO144" i="1" s="1"/>
  <c r="BO145" i="1" s="1"/>
  <c r="BO146" i="1" s="1"/>
  <c r="BO147" i="1" s="1"/>
  <c r="BO148" i="1" s="1"/>
  <c r="BO149" i="1" s="1"/>
  <c r="BO150" i="1" s="1"/>
  <c r="BO151" i="1" s="1"/>
  <c r="BO152" i="1" s="1"/>
  <c r="BO153" i="1" s="1"/>
  <c r="BO154" i="1" s="1"/>
  <c r="BO155" i="1" s="1"/>
  <c r="BO156" i="1" s="1"/>
  <c r="BO157" i="1" s="1"/>
  <c r="BO158" i="1" s="1"/>
  <c r="BO159" i="1" s="1"/>
  <c r="BO160" i="1" s="1"/>
  <c r="BD39" i="2"/>
  <c r="AN149" i="1" l="1"/>
  <c r="BI28" i="2"/>
  <c r="BI29" i="2"/>
  <c r="BJ13" i="2"/>
  <c r="BJ14" i="2"/>
  <c r="BI38" i="2"/>
  <c r="BI39" i="2"/>
  <c r="BI34" i="2"/>
  <c r="BI33" i="2"/>
  <c r="BI13" i="2"/>
  <c r="BI14" i="2"/>
  <c r="BJ8" i="2"/>
  <c r="BJ9" i="2"/>
  <c r="BJ29" i="2"/>
  <c r="BJ28" i="2"/>
  <c r="BI23" i="2"/>
  <c r="BI24" i="2"/>
  <c r="BI19" i="2"/>
  <c r="AT167" i="1" s="1"/>
  <c r="BI18" i="2"/>
  <c r="AP167" i="1" s="1"/>
  <c r="BJ38" i="2"/>
  <c r="BJ39" i="2"/>
  <c r="BJ23" i="2"/>
  <c r="BJ24" i="2"/>
  <c r="BJ34" i="2"/>
  <c r="BJ33" i="2"/>
  <c r="BJ18" i="2"/>
  <c r="AR167" i="1" s="1"/>
  <c r="BJ19" i="2"/>
  <c r="AV167" i="1" s="1"/>
  <c r="BI8" i="2"/>
  <c r="AG26" i="2" s="1"/>
  <c r="BI9" i="2"/>
  <c r="BE10" i="2"/>
  <c r="BE15" i="2"/>
  <c r="BE25" i="2"/>
  <c r="BE40" i="2"/>
  <c r="BE35" i="2"/>
  <c r="BE30" i="2"/>
  <c r="BE20" i="2"/>
  <c r="AN150" i="1" l="1"/>
  <c r="M85" i="1"/>
  <c r="L85" i="1"/>
  <c r="K85" i="1"/>
  <c r="J85" i="1"/>
  <c r="I85" i="1"/>
  <c r="G85" i="1"/>
  <c r="F85" i="1"/>
  <c r="E85" i="1"/>
  <c r="F87" i="1"/>
  <c r="G87" i="1"/>
  <c r="H87" i="1"/>
  <c r="I87" i="1"/>
  <c r="J87" i="1"/>
  <c r="K87" i="1"/>
  <c r="L87" i="1"/>
  <c r="E115" i="1"/>
  <c r="L118" i="1"/>
  <c r="N85" i="1"/>
  <c r="C7" i="1"/>
  <c r="AN151" i="1" l="1"/>
  <c r="I115" i="1"/>
  <c r="I116" i="1" s="1"/>
  <c r="E124" i="1"/>
  <c r="L116" i="1"/>
  <c r="N115" i="1"/>
  <c r="N116" i="1" s="1"/>
  <c r="I119" i="1"/>
  <c r="H85" i="1"/>
  <c r="K120" i="1"/>
  <c r="M116" i="1"/>
  <c r="I125" i="1"/>
  <c r="L122" i="1"/>
  <c r="E116" i="1"/>
  <c r="K125" i="1"/>
  <c r="K123" i="1"/>
  <c r="L124" i="1"/>
  <c r="I124" i="1"/>
  <c r="K122" i="1"/>
  <c r="I123" i="1"/>
  <c r="J122" i="1"/>
  <c r="J125" i="1"/>
  <c r="L123" i="1"/>
  <c r="J124" i="1"/>
  <c r="K115" i="1"/>
  <c r="K116" i="1" s="1"/>
  <c r="J115" i="1"/>
  <c r="J116" i="1" s="1"/>
  <c r="F115" i="1"/>
  <c r="F116" i="1" s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40" i="1"/>
  <c r="L139" i="1"/>
  <c r="BA140" i="1"/>
  <c r="AZ140" i="1"/>
  <c r="BC139" i="1"/>
  <c r="BB139" i="1"/>
  <c r="BA139" i="1"/>
  <c r="AZ139" i="1"/>
  <c r="CI166" i="1"/>
  <c r="AN152" i="1" l="1"/>
  <c r="E123" i="1"/>
  <c r="E122" i="1"/>
  <c r="E125" i="1"/>
  <c r="K119" i="1"/>
  <c r="F124" i="1"/>
  <c r="E119" i="1"/>
  <c r="F125" i="1"/>
  <c r="L119" i="1"/>
  <c r="J119" i="1"/>
  <c r="H115" i="1"/>
  <c r="H116" i="1" s="1"/>
  <c r="H120" i="1"/>
  <c r="K121" i="1"/>
  <c r="E121" i="1"/>
  <c r="J121" i="1"/>
  <c r="H123" i="1"/>
  <c r="H124" i="1"/>
  <c r="J120" i="1"/>
  <c r="G119" i="1"/>
  <c r="L120" i="1"/>
  <c r="H119" i="1"/>
  <c r="G123" i="1"/>
  <c r="L121" i="1"/>
  <c r="H122" i="1"/>
  <c r="I121" i="1"/>
  <c r="F121" i="1"/>
  <c r="G125" i="1"/>
  <c r="H125" i="1"/>
  <c r="F120" i="1"/>
  <c r="E120" i="1"/>
  <c r="I120" i="1"/>
  <c r="G121" i="1"/>
  <c r="G122" i="1"/>
  <c r="G115" i="1"/>
  <c r="G116" i="1" s="1"/>
  <c r="CI167" i="1"/>
  <c r="CI168" i="1" s="1"/>
  <c r="CG166" i="1"/>
  <c r="CG167" i="1" s="1"/>
  <c r="CG168" i="1" s="1"/>
  <c r="AN153" i="1" l="1"/>
  <c r="AP139" i="1"/>
  <c r="AQ139" i="1" s="1"/>
  <c r="AN154" i="1" l="1"/>
  <c r="BC39" i="2"/>
  <c r="BB39" i="2"/>
  <c r="BC34" i="2"/>
  <c r="BB34" i="2"/>
  <c r="BC35" i="2" s="1"/>
  <c r="BC29" i="2"/>
  <c r="BB29" i="2"/>
  <c r="BC30" i="2" s="1"/>
  <c r="BC24" i="2"/>
  <c r="BB24" i="2"/>
  <c r="BC19" i="2"/>
  <c r="BB19" i="2"/>
  <c r="BC20" i="2" s="1"/>
  <c r="BC14" i="2"/>
  <c r="BB14" i="2"/>
  <c r="BC15" i="2" s="1"/>
  <c r="BC9" i="2"/>
  <c r="BB9" i="2"/>
  <c r="V139" i="1"/>
  <c r="BR160" i="1"/>
  <c r="BV160" i="1" s="1"/>
  <c r="BR159" i="1"/>
  <c r="BV159" i="1" s="1"/>
  <c r="BR158" i="1"/>
  <c r="BV158" i="1" s="1"/>
  <c r="BR157" i="1"/>
  <c r="BV157" i="1" s="1"/>
  <c r="BR156" i="1"/>
  <c r="BV156" i="1" s="1"/>
  <c r="BR155" i="1"/>
  <c r="BV155" i="1" s="1"/>
  <c r="BR154" i="1"/>
  <c r="BV154" i="1" s="1"/>
  <c r="BR153" i="1"/>
  <c r="BV153" i="1" s="1"/>
  <c r="BR152" i="1"/>
  <c r="BV152" i="1" s="1"/>
  <c r="BR151" i="1"/>
  <c r="BV151" i="1" s="1"/>
  <c r="BR150" i="1"/>
  <c r="BV150" i="1" s="1"/>
  <c r="BR149" i="1"/>
  <c r="BV149" i="1" s="1"/>
  <c r="BR148" i="1"/>
  <c r="BV148" i="1" s="1"/>
  <c r="BR147" i="1"/>
  <c r="BV147" i="1" s="1"/>
  <c r="BR146" i="1"/>
  <c r="BV146" i="1" s="1"/>
  <c r="BR145" i="1"/>
  <c r="BV145" i="1" s="1"/>
  <c r="BR144" i="1"/>
  <c r="BV144" i="1" s="1"/>
  <c r="BR143" i="1"/>
  <c r="BV143" i="1" s="1"/>
  <c r="BR142" i="1"/>
  <c r="BV142" i="1" s="1"/>
  <c r="BR141" i="1"/>
  <c r="BV141" i="1" s="1"/>
  <c r="BR140" i="1"/>
  <c r="BV140" i="1" s="1"/>
  <c r="BU160" i="1"/>
  <c r="BU159" i="1"/>
  <c r="BU158" i="1"/>
  <c r="BU157" i="1"/>
  <c r="BU156" i="1"/>
  <c r="BU155" i="1"/>
  <c r="BU154" i="1"/>
  <c r="BU153" i="1"/>
  <c r="BU152" i="1"/>
  <c r="BU151" i="1"/>
  <c r="BU150" i="1"/>
  <c r="BU149" i="1"/>
  <c r="BU148" i="1"/>
  <c r="BU147" i="1"/>
  <c r="BU146" i="1"/>
  <c r="BU145" i="1"/>
  <c r="BU144" i="1"/>
  <c r="BU143" i="1"/>
  <c r="BU142" i="1"/>
  <c r="BU141" i="1"/>
  <c r="BU140" i="1"/>
  <c r="BS142" i="1"/>
  <c r="BT142" i="1" s="1"/>
  <c r="BS143" i="1"/>
  <c r="BT143" i="1" s="1"/>
  <c r="BS144" i="1"/>
  <c r="BT144" i="1" s="1"/>
  <c r="BS145" i="1"/>
  <c r="BT145" i="1" s="1"/>
  <c r="BS146" i="1"/>
  <c r="BT146" i="1" s="1"/>
  <c r="BS147" i="1"/>
  <c r="BT147" i="1" s="1"/>
  <c r="BS148" i="1"/>
  <c r="BT148" i="1" s="1"/>
  <c r="BS149" i="1"/>
  <c r="BT149" i="1" s="1"/>
  <c r="BS150" i="1"/>
  <c r="BT150" i="1" s="1"/>
  <c r="BS151" i="1"/>
  <c r="BT151" i="1" s="1"/>
  <c r="BS152" i="1"/>
  <c r="BT152" i="1" s="1"/>
  <c r="BS153" i="1"/>
  <c r="BT153" i="1" s="1"/>
  <c r="BS154" i="1"/>
  <c r="BT154" i="1" s="1"/>
  <c r="BS155" i="1"/>
  <c r="BT155" i="1" s="1"/>
  <c r="BS156" i="1"/>
  <c r="BT156" i="1" s="1"/>
  <c r="BS157" i="1"/>
  <c r="BT157" i="1" s="1"/>
  <c r="BS158" i="1"/>
  <c r="BT158" i="1" s="1"/>
  <c r="BS159" i="1"/>
  <c r="BT159" i="1" s="1"/>
  <c r="BS160" i="1"/>
  <c r="BT160" i="1" s="1"/>
  <c r="BS141" i="1"/>
  <c r="BT141" i="1" s="1"/>
  <c r="BS140" i="1"/>
  <c r="BT140" i="1" s="1"/>
  <c r="L2" i="1"/>
  <c r="D17" i="1"/>
  <c r="D18" i="1" s="1"/>
  <c r="D19" i="1" s="1"/>
  <c r="D20" i="1" s="1"/>
  <c r="D21" i="1" s="1"/>
  <c r="D22" i="1" s="1"/>
  <c r="F165" i="1"/>
  <c r="F164" i="1"/>
  <c r="CO160" i="1"/>
  <c r="BT183" i="1" l="1"/>
  <c r="BV182" i="1"/>
  <c r="AN155" i="1"/>
  <c r="BT182" i="1"/>
  <c r="BT181" i="1"/>
  <c r="BT180" i="1"/>
  <c r="BT179" i="1"/>
  <c r="BT178" i="1"/>
  <c r="BT177" i="1"/>
  <c r="BT176" i="1"/>
  <c r="BV170" i="1"/>
  <c r="BT175" i="1"/>
  <c r="BV171" i="1"/>
  <c r="BV172" i="1"/>
  <c r="BT173" i="1"/>
  <c r="BV173" i="1"/>
  <c r="BT168" i="1"/>
  <c r="BV178" i="1"/>
  <c r="BT167" i="1"/>
  <c r="BV179" i="1"/>
  <c r="BT166" i="1"/>
  <c r="BU166" i="1" s="1"/>
  <c r="BV180" i="1"/>
  <c r="BV181" i="1"/>
  <c r="BV183" i="1"/>
  <c r="BV166" i="1"/>
  <c r="BW166" i="1" s="1"/>
  <c r="BV167" i="1"/>
  <c r="BV168" i="1"/>
  <c r="BV169" i="1"/>
  <c r="BT174" i="1"/>
  <c r="BT172" i="1"/>
  <c r="BV174" i="1"/>
  <c r="BT171" i="1"/>
  <c r="BV175" i="1"/>
  <c r="BT170" i="1"/>
  <c r="BV176" i="1"/>
  <c r="BT169" i="1"/>
  <c r="BV177" i="1"/>
  <c r="BT165" i="1"/>
  <c r="BU165" i="1" s="1"/>
  <c r="BV165" i="1"/>
  <c r="BW165" i="1" s="1"/>
  <c r="D23" i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BC10" i="2"/>
  <c r="BC25" i="2"/>
  <c r="BC40" i="2"/>
  <c r="BA39" i="2"/>
  <c r="AZ39" i="2"/>
  <c r="AY39" i="2"/>
  <c r="AX39" i="2"/>
  <c r="AW39" i="2"/>
  <c r="AV39" i="2"/>
  <c r="AW40" i="2" s="1"/>
  <c r="AS39" i="2"/>
  <c r="AR39" i="2"/>
  <c r="CM170" i="1"/>
  <c r="CM171" i="1"/>
  <c r="CM172" i="1"/>
  <c r="CM173" i="1"/>
  <c r="CM174" i="1"/>
  <c r="CM175" i="1"/>
  <c r="CM176" i="1"/>
  <c r="CM177" i="1"/>
  <c r="CM178" i="1"/>
  <c r="CM179" i="1"/>
  <c r="CM180" i="1"/>
  <c r="CM181" i="1"/>
  <c r="CM182" i="1"/>
  <c r="CM183" i="1"/>
  <c r="CM169" i="1"/>
  <c r="CK170" i="1"/>
  <c r="CK171" i="1"/>
  <c r="CK172" i="1"/>
  <c r="CK173" i="1"/>
  <c r="CK174" i="1"/>
  <c r="CK175" i="1"/>
  <c r="CK176" i="1"/>
  <c r="CK177" i="1"/>
  <c r="CK178" i="1"/>
  <c r="CK179" i="1"/>
  <c r="CK180" i="1"/>
  <c r="CK181" i="1"/>
  <c r="CK182" i="1"/>
  <c r="CK183" i="1"/>
  <c r="CK169" i="1"/>
  <c r="BZ170" i="1"/>
  <c r="BZ171" i="1"/>
  <c r="BZ172" i="1"/>
  <c r="BZ173" i="1"/>
  <c r="BZ174" i="1"/>
  <c r="BZ175" i="1"/>
  <c r="BZ176" i="1"/>
  <c r="BZ177" i="1"/>
  <c r="BZ178" i="1"/>
  <c r="BZ179" i="1"/>
  <c r="BZ180" i="1"/>
  <c r="BZ181" i="1"/>
  <c r="BZ182" i="1"/>
  <c r="BZ183" i="1"/>
  <c r="BZ169" i="1"/>
  <c r="BX170" i="1"/>
  <c r="BX171" i="1"/>
  <c r="BX172" i="1"/>
  <c r="BX173" i="1"/>
  <c r="BX174" i="1"/>
  <c r="BX175" i="1"/>
  <c r="BX176" i="1"/>
  <c r="BX177" i="1"/>
  <c r="BX178" i="1"/>
  <c r="BX179" i="1"/>
  <c r="BX180" i="1"/>
  <c r="BX181" i="1"/>
  <c r="BX182" i="1"/>
  <c r="BX183" i="1"/>
  <c r="BX169" i="1"/>
  <c r="D34" i="1" l="1"/>
  <c r="D35" i="1" s="1"/>
  <c r="D36" i="1" s="1"/>
  <c r="D37" i="1" s="1"/>
  <c r="D38" i="1" s="1"/>
  <c r="AN156" i="1"/>
  <c r="BA40" i="2"/>
  <c r="BT184" i="1"/>
  <c r="BV184" i="1"/>
  <c r="BW167" i="1"/>
  <c r="BW168" i="1" s="1"/>
  <c r="BW169" i="1" s="1"/>
  <c r="BW170" i="1" s="1"/>
  <c r="BW171" i="1" s="1"/>
  <c r="BW172" i="1" s="1"/>
  <c r="BW173" i="1" s="1"/>
  <c r="BW174" i="1" s="1"/>
  <c r="BW175" i="1" s="1"/>
  <c r="BW176" i="1" s="1"/>
  <c r="BW177" i="1" s="1"/>
  <c r="BW178" i="1" s="1"/>
  <c r="BW179" i="1" s="1"/>
  <c r="BW180" i="1" s="1"/>
  <c r="BW181" i="1" s="1"/>
  <c r="BW182" i="1" s="1"/>
  <c r="BW183" i="1" s="1"/>
  <c r="BU167" i="1"/>
  <c r="BU168" i="1" s="1"/>
  <c r="BU169" i="1" s="1"/>
  <c r="BU170" i="1" s="1"/>
  <c r="BU171" i="1" s="1"/>
  <c r="BU172" i="1" s="1"/>
  <c r="BU173" i="1" s="1"/>
  <c r="BU174" i="1" s="1"/>
  <c r="BU175" i="1" s="1"/>
  <c r="BU176" i="1" s="1"/>
  <c r="BU177" i="1" s="1"/>
  <c r="BU178" i="1" s="1"/>
  <c r="BU179" i="1" s="1"/>
  <c r="BU180" i="1" s="1"/>
  <c r="BU181" i="1" s="1"/>
  <c r="BU182" i="1" s="1"/>
  <c r="BU183" i="1" s="1"/>
  <c r="AY40" i="2"/>
  <c r="CK184" i="1"/>
  <c r="BZ184" i="1"/>
  <c r="CH184" i="1"/>
  <c r="CM184" i="1"/>
  <c r="BX184" i="1"/>
  <c r="CF184" i="1"/>
  <c r="AS40" i="2"/>
  <c r="AN157" i="1" l="1"/>
  <c r="BA34" i="2"/>
  <c r="AZ34" i="2"/>
  <c r="AY34" i="2"/>
  <c r="AX34" i="2"/>
  <c r="AY35" i="2" s="1"/>
  <c r="AW34" i="2"/>
  <c r="AV34" i="2"/>
  <c r="AS34" i="2"/>
  <c r="AR34" i="2"/>
  <c r="BA29" i="2"/>
  <c r="AZ29" i="2"/>
  <c r="AY29" i="2"/>
  <c r="AX29" i="2"/>
  <c r="AY30" i="2" s="1"/>
  <c r="AW29" i="2"/>
  <c r="AV29" i="2"/>
  <c r="AS29" i="2"/>
  <c r="AR29" i="2"/>
  <c r="BA24" i="2"/>
  <c r="AZ24" i="2"/>
  <c r="BA25" i="2" s="1"/>
  <c r="AY24" i="2"/>
  <c r="AX24" i="2"/>
  <c r="AW24" i="2"/>
  <c r="AV24" i="2"/>
  <c r="AS24" i="2"/>
  <c r="AR24" i="2"/>
  <c r="AT139" i="1"/>
  <c r="AU139" i="1" s="1"/>
  <c r="BA19" i="2"/>
  <c r="AZ19" i="2"/>
  <c r="BA14" i="2"/>
  <c r="AZ14" i="2"/>
  <c r="BA9" i="2"/>
  <c r="AZ9" i="2"/>
  <c r="BA10" i="2" s="1"/>
  <c r="AN158" i="1" l="1"/>
  <c r="AS30" i="2"/>
  <c r="AS25" i="2"/>
  <c r="AV139" i="1"/>
  <c r="BA35" i="2"/>
  <c r="AW30" i="2"/>
  <c r="BA30" i="2"/>
  <c r="BA15" i="2"/>
  <c r="AW35" i="2"/>
  <c r="AY25" i="2"/>
  <c r="AS35" i="2"/>
  <c r="AW25" i="2"/>
  <c r="BA20" i="2"/>
  <c r="AN159" i="1" l="1"/>
  <c r="AC140" i="1"/>
  <c r="BB140" i="1" s="1"/>
  <c r="AN160" i="1" l="1"/>
  <c r="I17" i="1"/>
  <c r="G165" i="1"/>
  <c r="AD140" i="1"/>
  <c r="AY19" i="2"/>
  <c r="AX19" i="2"/>
  <c r="AW19" i="2"/>
  <c r="AV19" i="2"/>
  <c r="AS19" i="2"/>
  <c r="AR19" i="2"/>
  <c r="H139" i="1"/>
  <c r="H17" i="1" l="1"/>
  <c r="J17" i="1" s="1"/>
  <c r="BC140" i="1"/>
  <c r="BW140" i="1"/>
  <c r="AY20" i="2"/>
  <c r="AW20" i="2"/>
  <c r="AS20" i="2"/>
  <c r="F139" i="1"/>
  <c r="AS140" i="1"/>
  <c r="AY14" i="2"/>
  <c r="AX14" i="2"/>
  <c r="AW14" i="2"/>
  <c r="AV14" i="2"/>
  <c r="AS14" i="2"/>
  <c r="AR14" i="2"/>
  <c r="AS9" i="2"/>
  <c r="AR9" i="2"/>
  <c r="AY9" i="2"/>
  <c r="AX9" i="2"/>
  <c r="AW140" i="1" l="1"/>
  <c r="H165" i="1"/>
  <c r="BW141" i="1"/>
  <c r="BW142" i="1" s="1"/>
  <c r="BW143" i="1" s="1"/>
  <c r="BW144" i="1" s="1"/>
  <c r="BW145" i="1" s="1"/>
  <c r="BW146" i="1" s="1"/>
  <c r="BW147" i="1" s="1"/>
  <c r="BW148" i="1" s="1"/>
  <c r="AS10" i="2"/>
  <c r="CN169" i="1"/>
  <c r="CN170" i="1" s="1"/>
  <c r="CN171" i="1" s="1"/>
  <c r="CN172" i="1" s="1"/>
  <c r="CN173" i="1" s="1"/>
  <c r="CN174" i="1" s="1"/>
  <c r="CN175" i="1" s="1"/>
  <c r="CN176" i="1" s="1"/>
  <c r="CN177" i="1" s="1"/>
  <c r="CN178" i="1" s="1"/>
  <c r="CN179" i="1" s="1"/>
  <c r="CN180" i="1" s="1"/>
  <c r="CN181" i="1" s="1"/>
  <c r="CN182" i="1" s="1"/>
  <c r="CN183" i="1" s="1"/>
  <c r="CC169" i="1"/>
  <c r="CC170" i="1" s="1"/>
  <c r="CC171" i="1" s="1"/>
  <c r="CC172" i="1" s="1"/>
  <c r="CC173" i="1" s="1"/>
  <c r="CC174" i="1" s="1"/>
  <c r="CC175" i="1" s="1"/>
  <c r="CC176" i="1" s="1"/>
  <c r="CC177" i="1" s="1"/>
  <c r="CC178" i="1" s="1"/>
  <c r="CC179" i="1" s="1"/>
  <c r="CC180" i="1" s="1"/>
  <c r="CC181" i="1" s="1"/>
  <c r="CC182" i="1" s="1"/>
  <c r="CC183" i="1" s="1"/>
  <c r="CL169" i="1"/>
  <c r="CL170" i="1" s="1"/>
  <c r="CL171" i="1" s="1"/>
  <c r="CL172" i="1" s="1"/>
  <c r="CL173" i="1" s="1"/>
  <c r="CL174" i="1" s="1"/>
  <c r="CL175" i="1" s="1"/>
  <c r="CL176" i="1" s="1"/>
  <c r="CL177" i="1" s="1"/>
  <c r="CL178" i="1" s="1"/>
  <c r="CL179" i="1" s="1"/>
  <c r="CL180" i="1" s="1"/>
  <c r="CL181" i="1" s="1"/>
  <c r="CL182" i="1" s="1"/>
  <c r="CL183" i="1" s="1"/>
  <c r="CI169" i="1"/>
  <c r="CI170" i="1" s="1"/>
  <c r="CI171" i="1" s="1"/>
  <c r="CI172" i="1" s="1"/>
  <c r="CI173" i="1" s="1"/>
  <c r="CI174" i="1" s="1"/>
  <c r="CI175" i="1" s="1"/>
  <c r="CI176" i="1" s="1"/>
  <c r="CI177" i="1" s="1"/>
  <c r="CI178" i="1" s="1"/>
  <c r="CI179" i="1" s="1"/>
  <c r="CI180" i="1" s="1"/>
  <c r="CI181" i="1" s="1"/>
  <c r="CI182" i="1" s="1"/>
  <c r="CI183" i="1" s="1"/>
  <c r="CG169" i="1"/>
  <c r="CG170" i="1" s="1"/>
  <c r="CG171" i="1" s="1"/>
  <c r="CG172" i="1" s="1"/>
  <c r="CG173" i="1" s="1"/>
  <c r="CG174" i="1" s="1"/>
  <c r="CG175" i="1" s="1"/>
  <c r="CG176" i="1" s="1"/>
  <c r="CG177" i="1" s="1"/>
  <c r="CG178" i="1" s="1"/>
  <c r="CG179" i="1" s="1"/>
  <c r="CG180" i="1" s="1"/>
  <c r="CG181" i="1" s="1"/>
  <c r="CG182" i="1" s="1"/>
  <c r="CG183" i="1" s="1"/>
  <c r="CE169" i="1"/>
  <c r="CE170" i="1" s="1"/>
  <c r="CE171" i="1" s="1"/>
  <c r="CE172" i="1" s="1"/>
  <c r="CE173" i="1" s="1"/>
  <c r="CE174" i="1" s="1"/>
  <c r="CE175" i="1" s="1"/>
  <c r="CE176" i="1" s="1"/>
  <c r="CE177" i="1" s="1"/>
  <c r="CE178" i="1" s="1"/>
  <c r="CE179" i="1" s="1"/>
  <c r="CE180" i="1" s="1"/>
  <c r="CE181" i="1" s="1"/>
  <c r="CE182" i="1" s="1"/>
  <c r="CE183" i="1" s="1"/>
  <c r="BW149" i="1" l="1"/>
  <c r="BW150" i="1" s="1"/>
  <c r="BW151" i="1" s="1"/>
  <c r="BW152" i="1" s="1"/>
  <c r="BW153" i="1" s="1"/>
  <c r="BW154" i="1" s="1"/>
  <c r="BW155" i="1" s="1"/>
  <c r="BW156" i="1" s="1"/>
  <c r="BW157" i="1" s="1"/>
  <c r="BW158" i="1" s="1"/>
  <c r="BW159" i="1" s="1"/>
  <c r="BW160" i="1" s="1"/>
  <c r="CJ140" i="1"/>
  <c r="CJ141" i="1"/>
  <c r="CJ142" i="1"/>
  <c r="CJ143" i="1"/>
  <c r="CJ144" i="1"/>
  <c r="CJ145" i="1"/>
  <c r="CJ146" i="1"/>
  <c r="CJ147" i="1"/>
  <c r="CJ148" i="1"/>
  <c r="CJ149" i="1"/>
  <c r="CJ150" i="1"/>
  <c r="CJ151" i="1"/>
  <c r="CJ152" i="1"/>
  <c r="CJ153" i="1"/>
  <c r="CJ154" i="1"/>
  <c r="CJ155" i="1"/>
  <c r="CJ156" i="1"/>
  <c r="CJ157" i="1"/>
  <c r="CJ158" i="1"/>
  <c r="CJ159" i="1"/>
  <c r="CJ160" i="1"/>
  <c r="CJ138" i="1"/>
  <c r="F140" i="1"/>
  <c r="L24" i="2"/>
  <c r="K24" i="2"/>
  <c r="N24" i="2"/>
  <c r="M24" i="2"/>
  <c r="O21" i="2" l="1"/>
  <c r="O17" i="2"/>
  <c r="O13" i="2"/>
  <c r="O9" i="2"/>
  <c r="O5" i="2"/>
  <c r="O18" i="2"/>
  <c r="O14" i="2"/>
  <c r="O6" i="2"/>
  <c r="O24" i="2"/>
  <c r="O20" i="2"/>
  <c r="O16" i="2"/>
  <c r="O12" i="2"/>
  <c r="O8" i="2"/>
  <c r="O4" i="2"/>
  <c r="O22" i="2"/>
  <c r="O10" i="2"/>
  <c r="O23" i="2"/>
  <c r="O19" i="2"/>
  <c r="O15" i="2"/>
  <c r="O11" i="2"/>
  <c r="O7" i="2"/>
  <c r="P8" i="2"/>
  <c r="P5" i="2"/>
  <c r="P9" i="2"/>
  <c r="P13" i="2"/>
  <c r="P17" i="2"/>
  <c r="P21" i="2"/>
  <c r="P4" i="2"/>
  <c r="P16" i="2"/>
  <c r="P24" i="2"/>
  <c r="P6" i="2"/>
  <c r="P10" i="2"/>
  <c r="P14" i="2"/>
  <c r="P18" i="2"/>
  <c r="P22" i="2"/>
  <c r="P12" i="2"/>
  <c r="P20" i="2"/>
  <c r="P7" i="2"/>
  <c r="P11" i="2"/>
  <c r="P15" i="2"/>
  <c r="P19" i="2"/>
  <c r="P23" i="2"/>
  <c r="CH133" i="1" l="1"/>
  <c r="CI139" i="1"/>
  <c r="CL138" i="1"/>
  <c r="CL139" i="1" s="1"/>
  <c r="CL140" i="1" s="1"/>
  <c r="CL141" i="1" s="1"/>
  <c r="CL142" i="1" s="1"/>
  <c r="CL143" i="1" s="1"/>
  <c r="CL144" i="1" s="1"/>
  <c r="CL145" i="1" s="1"/>
  <c r="CL146" i="1" s="1"/>
  <c r="CL147" i="1" s="1"/>
  <c r="CL148" i="1" s="1"/>
  <c r="CL149" i="1" s="1"/>
  <c r="CL150" i="1" s="1"/>
  <c r="CL151" i="1" s="1"/>
  <c r="CL152" i="1" s="1"/>
  <c r="CL153" i="1" s="1"/>
  <c r="CL154" i="1" s="1"/>
  <c r="CL155" i="1" s="1"/>
  <c r="CL156" i="1" s="1"/>
  <c r="CL157" i="1" s="1"/>
  <c r="CL158" i="1" s="1"/>
  <c r="CL159" i="1" s="1"/>
  <c r="CL160" i="1" s="1"/>
  <c r="AW9" i="2"/>
  <c r="AV9" i="2"/>
  <c r="AU9" i="2"/>
  <c r="AT9" i="2"/>
  <c r="AP24" i="2"/>
  <c r="AO24" i="2"/>
  <c r="AM24" i="2"/>
  <c r="AL24" i="2"/>
  <c r="AK24" i="2"/>
  <c r="AJ24" i="2"/>
  <c r="AI24" i="2"/>
  <c r="J24" i="2"/>
  <c r="I24" i="2"/>
  <c r="H24" i="2"/>
  <c r="H18" i="2" s="1"/>
  <c r="G24" i="2"/>
  <c r="G18" i="2" s="1"/>
  <c r="F24" i="2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E24" i="2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AN23" i="2"/>
  <c r="AJ23" i="2"/>
  <c r="AI23" i="2"/>
  <c r="AN22" i="2"/>
  <c r="AJ22" i="2"/>
  <c r="AI22" i="2"/>
  <c r="AN21" i="2"/>
  <c r="AJ21" i="2"/>
  <c r="AI21" i="2"/>
  <c r="AN20" i="2"/>
  <c r="AJ20" i="2"/>
  <c r="AI20" i="2"/>
  <c r="AN19" i="2"/>
  <c r="AJ19" i="2"/>
  <c r="AI19" i="2"/>
  <c r="AM19" i="2"/>
  <c r="AN18" i="2"/>
  <c r="AM18" i="2"/>
  <c r="AJ18" i="2"/>
  <c r="AI18" i="2"/>
  <c r="AM17" i="2"/>
  <c r="AJ17" i="2"/>
  <c r="AI17" i="2"/>
  <c r="AN16" i="2"/>
  <c r="AM16" i="2"/>
  <c r="AJ16" i="2"/>
  <c r="AI16" i="2"/>
  <c r="AM15" i="2"/>
  <c r="AJ15" i="2"/>
  <c r="AI15" i="2"/>
  <c r="R15" i="2"/>
  <c r="R16" i="2" s="1"/>
  <c r="R17" i="2" s="1"/>
  <c r="R18" i="2" s="1"/>
  <c r="R19" i="2" s="1"/>
  <c r="R20" i="2" s="1"/>
  <c r="R21" i="2" s="1"/>
  <c r="R22" i="2" s="1"/>
  <c r="R23" i="2" s="1"/>
  <c r="Q15" i="2"/>
  <c r="Q16" i="2" s="1"/>
  <c r="Q17" i="2" s="1"/>
  <c r="Q18" i="2" s="1"/>
  <c r="Q19" i="2" s="1"/>
  <c r="Q20" i="2" s="1"/>
  <c r="Q21" i="2" s="1"/>
  <c r="Q22" i="2" s="1"/>
  <c r="Q23" i="2" s="1"/>
  <c r="AN14" i="2"/>
  <c r="AM14" i="2"/>
  <c r="AL14" i="2"/>
  <c r="AK14" i="2"/>
  <c r="AJ14" i="2"/>
  <c r="AI14" i="2"/>
  <c r="AM13" i="2"/>
  <c r="AJ13" i="2"/>
  <c r="AI13" i="2"/>
  <c r="AN12" i="2"/>
  <c r="AM12" i="2"/>
  <c r="AJ12" i="2"/>
  <c r="AI12" i="2"/>
  <c r="AM11" i="2"/>
  <c r="AJ11" i="2"/>
  <c r="AI11" i="2"/>
  <c r="AN10" i="2"/>
  <c r="AM10" i="2"/>
  <c r="AJ10" i="2"/>
  <c r="AI10" i="2"/>
  <c r="AM9" i="2"/>
  <c r="AJ9" i="2"/>
  <c r="AI9" i="2"/>
  <c r="AN8" i="2"/>
  <c r="AM8" i="2"/>
  <c r="AJ8" i="2"/>
  <c r="AI8" i="2"/>
  <c r="AM7" i="2"/>
  <c r="AJ7" i="2"/>
  <c r="AI7" i="2"/>
  <c r="V7" i="2"/>
  <c r="V8" i="2" s="1"/>
  <c r="V9" i="2" s="1"/>
  <c r="V10" i="2" s="1"/>
  <c r="V11" i="2" s="1"/>
  <c r="V12" i="2" s="1"/>
  <c r="U7" i="2"/>
  <c r="AP6" i="2"/>
  <c r="AO6" i="2"/>
  <c r="AM6" i="2"/>
  <c r="AJ6" i="2"/>
  <c r="AI6" i="2"/>
  <c r="AM5" i="2"/>
  <c r="AJ5" i="2"/>
  <c r="AI5" i="2"/>
  <c r="R5" i="2"/>
  <c r="R6" i="2" s="1"/>
  <c r="R7" i="2" s="1"/>
  <c r="R8" i="2" s="1"/>
  <c r="R9" i="2" s="1"/>
  <c r="R10" i="2" s="1"/>
  <c r="R11" i="2" s="1"/>
  <c r="R12" i="2" s="1"/>
  <c r="R13" i="2" s="1"/>
  <c r="Q5" i="2"/>
  <c r="Q6" i="2" s="1"/>
  <c r="Q7" i="2" s="1"/>
  <c r="Q8" i="2" s="1"/>
  <c r="Q9" i="2" s="1"/>
  <c r="Q10" i="2" s="1"/>
  <c r="Q11" i="2" s="1"/>
  <c r="Q12" i="2" s="1"/>
  <c r="Q13" i="2" s="1"/>
  <c r="AN4" i="2"/>
  <c r="AM4" i="2"/>
  <c r="AL4" i="2"/>
  <c r="AK4" i="2"/>
  <c r="AJ4" i="2"/>
  <c r="AI4" i="2"/>
  <c r="V4" i="2"/>
  <c r="V5" i="2" s="1"/>
  <c r="U4" i="2"/>
  <c r="U5" i="2" s="1"/>
  <c r="AW15" i="2" s="1"/>
  <c r="AP3" i="2"/>
  <c r="AO3" i="2"/>
  <c r="AN3" i="2"/>
  <c r="AM3" i="2"/>
  <c r="AL3" i="2"/>
  <c r="AK3" i="2"/>
  <c r="AJ3" i="2"/>
  <c r="AI3" i="2"/>
  <c r="CN160" i="1"/>
  <c r="CN159" i="1"/>
  <c r="CN158" i="1"/>
  <c r="CN157" i="1"/>
  <c r="CN156" i="1"/>
  <c r="CN155" i="1"/>
  <c r="CN154" i="1"/>
  <c r="CN153" i="1"/>
  <c r="CN152" i="1"/>
  <c r="CN151" i="1"/>
  <c r="CN150" i="1"/>
  <c r="CN149" i="1"/>
  <c r="CN148" i="1"/>
  <c r="CN147" i="1"/>
  <c r="CN146" i="1"/>
  <c r="CN145" i="1"/>
  <c r="CN144" i="1"/>
  <c r="CN143" i="1"/>
  <c r="CN142" i="1"/>
  <c r="CN141" i="1"/>
  <c r="CN140" i="1"/>
  <c r="CI156" i="1"/>
  <c r="CP162" i="1"/>
  <c r="CP151" i="1"/>
  <c r="CP174" i="1" s="1"/>
  <c r="CP141" i="1"/>
  <c r="CM162" i="1"/>
  <c r="CK162" i="1"/>
  <c r="AE139" i="1"/>
  <c r="X139" i="1"/>
  <c r="U139" i="1"/>
  <c r="AH26" i="2" l="1"/>
  <c r="AH27" i="2"/>
  <c r="AG27" i="2"/>
  <c r="G19" i="2"/>
  <c r="AP165" i="1"/>
  <c r="H19" i="2"/>
  <c r="CI120" i="1"/>
  <c r="CI125" i="1"/>
  <c r="CI118" i="1"/>
  <c r="CI123" i="1"/>
  <c r="CI124" i="1"/>
  <c r="CI115" i="1"/>
  <c r="CI119" i="1"/>
  <c r="CI116" i="1"/>
  <c r="CI121" i="1"/>
  <c r="CI85" i="1"/>
  <c r="CI117" i="1"/>
  <c r="CI122" i="1"/>
  <c r="K8" i="2"/>
  <c r="K12" i="2"/>
  <c r="K16" i="2"/>
  <c r="K20" i="2"/>
  <c r="K4" i="2"/>
  <c r="K15" i="2"/>
  <c r="K23" i="2"/>
  <c r="K5" i="2"/>
  <c r="K9" i="2"/>
  <c r="K13" i="2"/>
  <c r="K17" i="2"/>
  <c r="K21" i="2"/>
  <c r="K11" i="2"/>
  <c r="K6" i="2"/>
  <c r="K10" i="2"/>
  <c r="K14" i="2"/>
  <c r="K18" i="2"/>
  <c r="K22" i="2"/>
  <c r="K7" i="2"/>
  <c r="K19" i="2"/>
  <c r="H15" i="2"/>
  <c r="CI131" i="1"/>
  <c r="CI126" i="1"/>
  <c r="CI130" i="1"/>
  <c r="CI133" i="1"/>
  <c r="CI128" i="1"/>
  <c r="CI132" i="1"/>
  <c r="CI127" i="1"/>
  <c r="F4" i="2"/>
  <c r="F5" i="2" s="1"/>
  <c r="F6" i="2" s="1"/>
  <c r="F7" i="2" s="1"/>
  <c r="F8" i="2" s="1"/>
  <c r="F9" i="2" s="1"/>
  <c r="F10" i="2" s="1"/>
  <c r="F11" i="2" s="1"/>
  <c r="F12" i="2" s="1"/>
  <c r="F13" i="2" s="1"/>
  <c r="I5" i="2"/>
  <c r="J4" i="2"/>
  <c r="E4" i="2"/>
  <c r="E5" i="2" s="1"/>
  <c r="E6" i="2" s="1"/>
  <c r="E7" i="2" s="1"/>
  <c r="E8" i="2" s="1"/>
  <c r="E9" i="2" s="1"/>
  <c r="E10" i="2" s="1"/>
  <c r="E11" i="2" s="1"/>
  <c r="E12" i="2" s="1"/>
  <c r="E13" i="2" s="1"/>
  <c r="I4" i="2"/>
  <c r="I6" i="2"/>
  <c r="I7" i="2"/>
  <c r="H7" i="2"/>
  <c r="H9" i="2"/>
  <c r="H20" i="2"/>
  <c r="H21" i="2"/>
  <c r="H22" i="2"/>
  <c r="H23" i="2"/>
  <c r="H5" i="2"/>
  <c r="H11" i="2"/>
  <c r="H13" i="2"/>
  <c r="H17" i="2"/>
  <c r="AU10" i="2"/>
  <c r="J6" i="2"/>
  <c r="G5" i="2"/>
  <c r="G8" i="2"/>
  <c r="G16" i="2"/>
  <c r="G4" i="2"/>
  <c r="G11" i="2"/>
  <c r="G15" i="2"/>
  <c r="G17" i="2"/>
  <c r="G6" i="2"/>
  <c r="G9" i="2"/>
  <c r="G12" i="2"/>
  <c r="G14" i="2"/>
  <c r="AW10" i="2"/>
  <c r="G7" i="2"/>
  <c r="G10" i="2"/>
  <c r="G13" i="2"/>
  <c r="V13" i="2"/>
  <c r="V14" i="2" s="1"/>
  <c r="J12" i="2"/>
  <c r="U8" i="2"/>
  <c r="J10" i="2"/>
  <c r="AM20" i="2"/>
  <c r="G20" i="2"/>
  <c r="AM21" i="2"/>
  <c r="G21" i="2"/>
  <c r="AM22" i="2"/>
  <c r="G22" i="2"/>
  <c r="AM23" i="2"/>
  <c r="G23" i="2"/>
  <c r="J8" i="2"/>
  <c r="AN24" i="2"/>
  <c r="H4" i="2"/>
  <c r="J5" i="2"/>
  <c r="AN5" i="2"/>
  <c r="H6" i="2"/>
  <c r="AN6" i="2"/>
  <c r="J7" i="2"/>
  <c r="AN7" i="2"/>
  <c r="H8" i="2"/>
  <c r="J9" i="2"/>
  <c r="AN9" i="2"/>
  <c r="H10" i="2"/>
  <c r="J11" i="2"/>
  <c r="AN11" i="2"/>
  <c r="H12" i="2"/>
  <c r="J13" i="2"/>
  <c r="AN13" i="2"/>
  <c r="H14" i="2"/>
  <c r="AN15" i="2"/>
  <c r="H16" i="2"/>
  <c r="AN17" i="2"/>
  <c r="AR165" i="1" l="1"/>
  <c r="AV165" i="1"/>
  <c r="AK27" i="2"/>
  <c r="AS15" i="2"/>
  <c r="AG140" i="1"/>
  <c r="I8" i="2"/>
  <c r="U9" i="2"/>
  <c r="V15" i="2"/>
  <c r="J14" i="2"/>
  <c r="AJ28" i="2" l="1"/>
  <c r="AK26" i="2"/>
  <c r="AI28" i="2"/>
  <c r="U10" i="2"/>
  <c r="I9" i="2"/>
  <c r="V16" i="2"/>
  <c r="J15" i="2"/>
  <c r="AL28" i="2" l="1"/>
  <c r="V17" i="2"/>
  <c r="J16" i="2"/>
  <c r="U11" i="2"/>
  <c r="I10" i="2"/>
  <c r="I11" i="2" l="1"/>
  <c r="U12" i="2"/>
  <c r="V18" i="2"/>
  <c r="J17" i="2"/>
  <c r="V19" i="2" l="1"/>
  <c r="J18" i="2"/>
  <c r="U13" i="2"/>
  <c r="I12" i="2"/>
  <c r="U14" i="2" l="1"/>
  <c r="I13" i="2"/>
  <c r="V20" i="2"/>
  <c r="J19" i="2"/>
  <c r="V21" i="2" l="1"/>
  <c r="J20" i="2"/>
  <c r="U15" i="2"/>
  <c r="I14" i="2"/>
  <c r="U16" i="2" l="1"/>
  <c r="I15" i="2"/>
  <c r="V22" i="2"/>
  <c r="J21" i="2"/>
  <c r="V23" i="2" l="1"/>
  <c r="J23" i="2" s="1"/>
  <c r="J22" i="2"/>
  <c r="U17" i="2"/>
  <c r="I16" i="2"/>
  <c r="U18" i="2" l="1"/>
  <c r="I17" i="2"/>
  <c r="U19" i="2" l="1"/>
  <c r="I18" i="2"/>
  <c r="U20" i="2" l="1"/>
  <c r="I19" i="2"/>
  <c r="U21" i="2" l="1"/>
  <c r="I20" i="2"/>
  <c r="U22" i="2" l="1"/>
  <c r="I21" i="2"/>
  <c r="U23" i="2" l="1"/>
  <c r="I23" i="2" s="1"/>
  <c r="I22" i="2"/>
  <c r="V140" i="1" l="1"/>
  <c r="V141" i="1" s="1"/>
  <c r="V142" i="1" s="1"/>
  <c r="V143" i="1" s="1"/>
  <c r="V144" i="1" s="1"/>
  <c r="V145" i="1" s="1"/>
  <c r="V146" i="1" s="1"/>
  <c r="V147" i="1" s="1"/>
  <c r="V148" i="1" s="1"/>
  <c r="V149" i="1" s="1"/>
  <c r="V150" i="1" s="1"/>
  <c r="V151" i="1" l="1"/>
  <c r="V152" i="1" s="1"/>
  <c r="V153" i="1" s="1"/>
  <c r="V154" i="1" s="1"/>
  <c r="V155" i="1" s="1"/>
  <c r="V156" i="1" s="1"/>
  <c r="V157" i="1" s="1"/>
  <c r="V158" i="1" s="1"/>
  <c r="V159" i="1" s="1"/>
  <c r="V160" i="1" s="1"/>
  <c r="U150" i="1"/>
  <c r="I3" i="1"/>
  <c r="C6" i="1" s="1"/>
  <c r="E127" i="1" l="1"/>
  <c r="X160" i="1"/>
  <c r="U160" i="1"/>
  <c r="X159" i="1"/>
  <c r="U159" i="1"/>
  <c r="X158" i="1"/>
  <c r="U158" i="1"/>
  <c r="X157" i="1"/>
  <c r="U157" i="1"/>
  <c r="X156" i="1"/>
  <c r="U156" i="1"/>
  <c r="X155" i="1"/>
  <c r="U155" i="1"/>
  <c r="X154" i="1"/>
  <c r="U154" i="1"/>
  <c r="X153" i="1"/>
  <c r="U153" i="1"/>
  <c r="X152" i="1"/>
  <c r="U152" i="1"/>
  <c r="X151" i="1"/>
  <c r="U151" i="1"/>
  <c r="X150" i="1"/>
  <c r="X149" i="1"/>
  <c r="U149" i="1"/>
  <c r="X148" i="1"/>
  <c r="U148" i="1"/>
  <c r="X147" i="1"/>
  <c r="U147" i="1"/>
  <c r="X146" i="1"/>
  <c r="U146" i="1"/>
  <c r="X145" i="1"/>
  <c r="U145" i="1"/>
  <c r="X144" i="1"/>
  <c r="U144" i="1"/>
  <c r="X143" i="1"/>
  <c r="U143" i="1"/>
  <c r="X142" i="1"/>
  <c r="U142" i="1"/>
  <c r="X141" i="1"/>
  <c r="U141" i="1"/>
  <c r="AE140" i="1"/>
  <c r="H140" i="1"/>
  <c r="X140" i="1"/>
  <c r="AP138" i="1"/>
  <c r="G139" i="1" s="1"/>
  <c r="X138" i="1"/>
  <c r="U138" i="1"/>
  <c r="E151" i="1" l="1"/>
  <c r="E176" i="1" s="1"/>
  <c r="E141" i="1"/>
  <c r="E166" i="1" s="1"/>
  <c r="E152" i="1"/>
  <c r="E177" i="1" s="1"/>
  <c r="E153" i="1"/>
  <c r="E178" i="1" s="1"/>
  <c r="E143" i="1"/>
  <c r="E168" i="1" s="1"/>
  <c r="E154" i="1"/>
  <c r="E179" i="1" s="1"/>
  <c r="E155" i="1"/>
  <c r="E180" i="1" s="1"/>
  <c r="E146" i="1"/>
  <c r="E171" i="1" s="1"/>
  <c r="E145" i="1"/>
  <c r="E170" i="1" s="1"/>
  <c r="E157" i="1"/>
  <c r="E182" i="1" s="1"/>
  <c r="E158" i="1"/>
  <c r="E183" i="1" s="1"/>
  <c r="E142" i="1"/>
  <c r="E167" i="1" s="1"/>
  <c r="E156" i="1"/>
  <c r="E181" i="1" s="1"/>
  <c r="E147" i="1"/>
  <c r="E172" i="1" s="1"/>
  <c r="E148" i="1"/>
  <c r="E173" i="1" s="1"/>
  <c r="E159" i="1"/>
  <c r="E184" i="1" s="1"/>
  <c r="E140" i="1"/>
  <c r="E165" i="1" s="1"/>
  <c r="E149" i="1"/>
  <c r="E174" i="1" s="1"/>
  <c r="E150" i="1"/>
  <c r="E175" i="1" s="1"/>
  <c r="E160" i="1"/>
  <c r="E185" i="1" s="1"/>
  <c r="E144" i="1"/>
  <c r="E169" i="1" s="1"/>
  <c r="G128" i="1"/>
  <c r="G129" i="1" s="1"/>
  <c r="J128" i="1"/>
  <c r="J129" i="1" s="1"/>
  <c r="K128" i="1"/>
  <c r="K129" i="1" s="1"/>
  <c r="AT165" i="1"/>
  <c r="G140" i="1"/>
  <c r="Y139" i="1"/>
  <c r="AY139" i="1" s="1"/>
  <c r="E139" i="1"/>
  <c r="E164" i="1" s="1"/>
  <c r="AF140" i="1"/>
  <c r="Y143" i="1"/>
  <c r="Y156" i="1"/>
  <c r="Y157" i="1"/>
  <c r="Y147" i="1"/>
  <c r="Y152" i="1"/>
  <c r="Y140" i="1"/>
  <c r="Z140" i="1" s="1"/>
  <c r="AX140" i="1" s="1"/>
  <c r="Y142" i="1"/>
  <c r="Y146" i="1"/>
  <c r="Y150" i="1"/>
  <c r="Y151" i="1"/>
  <c r="Y155" i="1"/>
  <c r="Y160" i="1"/>
  <c r="Y141" i="1"/>
  <c r="Y145" i="1"/>
  <c r="Y149" i="1"/>
  <c r="Y154" i="1"/>
  <c r="Y159" i="1"/>
  <c r="Y144" i="1"/>
  <c r="Y148" i="1"/>
  <c r="Y153" i="1"/>
  <c r="Y158" i="1"/>
  <c r="L128" i="1"/>
  <c r="L129" i="1" s="1"/>
  <c r="F128" i="1"/>
  <c r="F129" i="1" s="1"/>
  <c r="I128" i="1"/>
  <c r="I129" i="1" s="1"/>
  <c r="E128" i="1"/>
  <c r="E129" i="1" s="1"/>
  <c r="AX139" i="1" l="1"/>
  <c r="AY140" i="1"/>
  <c r="Z151" i="1"/>
  <c r="Z141" i="1"/>
  <c r="Z144" i="1"/>
  <c r="Z143" i="1"/>
  <c r="Z158" i="1"/>
  <c r="Z142" i="1"/>
  <c r="Z160" i="1"/>
  <c r="Z146" i="1"/>
  <c r="Z154" i="1"/>
  <c r="Z153" i="1"/>
  <c r="Z147" i="1"/>
  <c r="Z145" i="1"/>
  <c r="Z156" i="1"/>
  <c r="Z155" i="1"/>
  <c r="Z148" i="1"/>
  <c r="Z159" i="1"/>
  <c r="Z157" i="1"/>
  <c r="Z150" i="1"/>
  <c r="Z149" i="1"/>
  <c r="Z152" i="1"/>
  <c r="H128" i="1"/>
  <c r="H129" i="1" s="1"/>
  <c r="AY10" i="2" l="1"/>
  <c r="AY15" i="2"/>
  <c r="L20" i="2" l="1"/>
  <c r="L19" i="2"/>
  <c r="L22" i="2"/>
  <c r="L10" i="2"/>
  <c r="L5" i="2"/>
  <c r="L13" i="2"/>
  <c r="L21" i="2"/>
  <c r="L8" i="2"/>
  <c r="L4" i="2"/>
  <c r="L6" i="2"/>
  <c r="L11" i="2"/>
  <c r="L12" i="2"/>
  <c r="L7" i="2"/>
  <c r="L15" i="2"/>
  <c r="L23" i="2"/>
  <c r="L14" i="2"/>
  <c r="L16" i="2"/>
  <c r="L9" i="2"/>
  <c r="L17" i="2"/>
  <c r="L18" i="2"/>
  <c r="N4" i="2" l="1"/>
  <c r="N6" i="2"/>
  <c r="N5" i="2"/>
  <c r="N7" i="2"/>
  <c r="N8" i="2" l="1"/>
  <c r="N9" i="2" l="1"/>
  <c r="N10" i="2" l="1"/>
  <c r="N11" i="2" l="1"/>
  <c r="N12" i="2" l="1"/>
  <c r="N13" i="2" l="1"/>
  <c r="N14" i="2" l="1"/>
  <c r="N15" i="2" l="1"/>
  <c r="N16" i="2" l="1"/>
  <c r="N17" i="2" l="1"/>
  <c r="N18" i="2" l="1"/>
  <c r="N19" i="2" l="1"/>
  <c r="N20" i="2" l="1"/>
  <c r="N21" i="2" l="1"/>
  <c r="N22" i="2" l="1"/>
  <c r="N23" i="2" l="1"/>
  <c r="BZ162" i="1" l="1"/>
  <c r="CA169" i="1" l="1"/>
  <c r="CA170" i="1" s="1"/>
  <c r="CA171" i="1" s="1"/>
  <c r="CA172" i="1" s="1"/>
  <c r="CA173" i="1" s="1"/>
  <c r="CA174" i="1" s="1"/>
  <c r="CA175" i="1" s="1"/>
  <c r="CA176" i="1" s="1"/>
  <c r="CA177" i="1" s="1"/>
  <c r="CA178" i="1" s="1"/>
  <c r="CA179" i="1" s="1"/>
  <c r="CA180" i="1" s="1"/>
  <c r="CA181" i="1" s="1"/>
  <c r="CA182" i="1" s="1"/>
  <c r="CA183" i="1" s="1"/>
  <c r="M4" i="2" l="1"/>
  <c r="M6" i="2"/>
  <c r="M5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BX162" i="1" l="1"/>
  <c r="BY169" i="1" l="1"/>
  <c r="BY170" i="1" s="1"/>
  <c r="BY171" i="1" s="1"/>
  <c r="BY172" i="1" s="1"/>
  <c r="BY173" i="1" s="1"/>
  <c r="BY174" i="1" s="1"/>
  <c r="BY175" i="1" s="1"/>
  <c r="BY176" i="1" s="1"/>
  <c r="BY177" i="1" s="1"/>
  <c r="BY178" i="1" s="1"/>
  <c r="BY179" i="1" s="1"/>
  <c r="BY180" i="1" s="1"/>
  <c r="BY181" i="1" s="1"/>
  <c r="BY182" i="1" s="1"/>
  <c r="BY183" i="1" s="1"/>
  <c r="L3" i="1"/>
  <c r="BN183" i="1" l="1"/>
  <c r="BN178" i="1"/>
  <c r="BN168" i="1"/>
  <c r="BN172" i="1"/>
  <c r="BN166" i="1"/>
  <c r="BO166" i="1" s="1"/>
  <c r="BN175" i="1"/>
  <c r="BN177" i="1"/>
  <c r="BN176" i="1"/>
  <c r="BN169" i="1"/>
  <c r="BN171" i="1"/>
  <c r="BN182" i="1"/>
  <c r="BN170" i="1"/>
  <c r="BN167" i="1"/>
  <c r="BN173" i="1"/>
  <c r="BN181" i="1"/>
  <c r="BN174" i="1"/>
  <c r="BN179" i="1"/>
  <c r="BN180" i="1"/>
  <c r="BN184" i="1" l="1"/>
  <c r="BO167" i="1"/>
  <c r="BO168" i="1" s="1"/>
  <c r="BO169" i="1" s="1"/>
  <c r="BO170" i="1" s="1"/>
  <c r="BO171" i="1" s="1"/>
  <c r="BO172" i="1" s="1"/>
  <c r="BO173" i="1" s="1"/>
  <c r="BO174" i="1" s="1"/>
  <c r="BO175" i="1" s="1"/>
  <c r="BO176" i="1" s="1"/>
  <c r="BO177" i="1" s="1"/>
  <c r="BO178" i="1" s="1"/>
  <c r="BO179" i="1" s="1"/>
  <c r="BO180" i="1" s="1"/>
  <c r="BO181" i="1" s="1"/>
  <c r="BO182" i="1" s="1"/>
  <c r="BO183" i="1" s="1"/>
  <c r="BL179" i="1" l="1"/>
  <c r="BL178" i="1" l="1"/>
  <c r="BL172" i="1"/>
  <c r="BL177" i="1"/>
  <c r="BL169" i="1"/>
  <c r="BL168" i="1"/>
  <c r="BL166" i="1"/>
  <c r="BM166" i="1" s="1"/>
  <c r="BL182" i="1"/>
  <c r="BL176" i="1"/>
  <c r="BL174" i="1"/>
  <c r="BL171" i="1"/>
  <c r="BL167" i="1"/>
  <c r="BL183" i="1"/>
  <c r="BL181" i="1"/>
  <c r="BL175" i="1"/>
  <c r="BL173" i="1"/>
  <c r="BL170" i="1"/>
  <c r="BL180" i="1"/>
  <c r="BL184" i="1" l="1"/>
  <c r="BM167" i="1"/>
  <c r="BM168" i="1" s="1"/>
  <c r="BM169" i="1" s="1"/>
  <c r="BM170" i="1" s="1"/>
  <c r="BM171" i="1" s="1"/>
  <c r="BM172" i="1" s="1"/>
  <c r="BM173" i="1" s="1"/>
  <c r="BM174" i="1" s="1"/>
  <c r="BM175" i="1" s="1"/>
  <c r="BM176" i="1" s="1"/>
  <c r="BM177" i="1" s="1"/>
  <c r="BM178" i="1" s="1"/>
  <c r="BM179" i="1" s="1"/>
  <c r="BM180" i="1" s="1"/>
  <c r="BM181" i="1" s="1"/>
  <c r="BM182" i="1" s="1"/>
  <c r="BM183" i="1" s="1"/>
  <c r="E131" i="1" l="1"/>
  <c r="E132" i="1" s="1"/>
  <c r="E133" i="1" s="1"/>
  <c r="E134" i="1" s="1"/>
  <c r="F131" i="1"/>
  <c r="F132" i="1" s="1"/>
  <c r="F133" i="1" s="1"/>
  <c r="F134" i="1" s="1"/>
  <c r="H131" i="1"/>
  <c r="H132" i="1" s="1"/>
  <c r="H133" i="1" s="1"/>
  <c r="H134" i="1" s="1"/>
  <c r="K131" i="1"/>
  <c r="K132" i="1" s="1"/>
  <c r="K133" i="1" s="1"/>
  <c r="K134" i="1" s="1"/>
  <c r="L131" i="1"/>
  <c r="L132" i="1" s="1"/>
  <c r="L133" i="1" s="1"/>
  <c r="L134" i="1" s="1"/>
  <c r="I131" i="1"/>
  <c r="I132" i="1" s="1"/>
  <c r="I133" i="1" s="1"/>
  <c r="I134" i="1" s="1"/>
  <c r="J131" i="1"/>
  <c r="J132" i="1" s="1"/>
  <c r="J133" i="1" s="1"/>
  <c r="J134" i="1" s="1"/>
  <c r="G131" i="1"/>
  <c r="G132" i="1" s="1"/>
  <c r="G133" i="1" s="1"/>
  <c r="G134" i="1" s="1"/>
  <c r="BB141" i="1"/>
  <c r="AJ141" i="1"/>
  <c r="AV166" i="1"/>
  <c r="AI141" i="1"/>
  <c r="AK141" i="1"/>
  <c r="AZ141" i="1"/>
  <c r="AG5" i="2"/>
  <c r="AG29" i="2" s="1"/>
  <c r="AH141" i="1"/>
  <c r="I22" i="1"/>
  <c r="AT166" i="1"/>
  <c r="AR166" i="1"/>
  <c r="AH5" i="2"/>
  <c r="AH29" i="2" s="1"/>
  <c r="AD141" i="1"/>
  <c r="AG141" i="1" s="1"/>
  <c r="F166" i="1"/>
  <c r="BA141" i="1"/>
  <c r="AE141" i="1"/>
  <c r="AY141" i="1"/>
  <c r="F141" i="1"/>
  <c r="AS141" i="1"/>
  <c r="H22" i="1" l="1"/>
  <c r="J22" i="1" s="1"/>
  <c r="G141" i="1"/>
  <c r="AP166" i="1"/>
  <c r="G166" i="1"/>
  <c r="AF141" i="1"/>
  <c r="AX141" i="1"/>
  <c r="AH30" i="2"/>
  <c r="AJ31" i="2" s="1"/>
  <c r="H141" i="1"/>
  <c r="AK29" i="2"/>
  <c r="BC141" i="1"/>
  <c r="AG30" i="2"/>
  <c r="AI31" i="2" s="1"/>
  <c r="AL31" i="2" l="1"/>
  <c r="H166" i="1"/>
  <c r="AW141" i="1"/>
  <c r="AK30" i="2"/>
  <c r="AR170" i="1"/>
  <c r="AR143" i="1" s="1"/>
  <c r="AR144" i="1" l="1"/>
  <c r="AR145" i="1" s="1"/>
  <c r="AR146" i="1" s="1"/>
  <c r="AR147" i="1" s="1"/>
  <c r="AR148" i="1" s="1"/>
  <c r="AR149" i="1" s="1"/>
  <c r="AR150" i="1" s="1"/>
  <c r="AT170" i="1"/>
  <c r="AT143" i="1" s="1"/>
  <c r="AV170" i="1"/>
  <c r="AV143" i="1" s="1"/>
  <c r="AR151" i="1" l="1"/>
  <c r="G176" i="1" s="1"/>
  <c r="AT144" i="1"/>
  <c r="AT145" i="1" s="1"/>
  <c r="AT146" i="1" s="1"/>
  <c r="AT147" i="1" s="1"/>
  <c r="AT148" i="1" s="1"/>
  <c r="AT149" i="1" s="1"/>
  <c r="AT150" i="1" s="1"/>
  <c r="AT151" i="1" s="1"/>
  <c r="AT152" i="1" s="1"/>
  <c r="AT153" i="1" s="1"/>
  <c r="AT154" i="1" s="1"/>
  <c r="AT155" i="1" s="1"/>
  <c r="AT156" i="1" s="1"/>
  <c r="AT157" i="1" s="1"/>
  <c r="AT158" i="1" s="1"/>
  <c r="AT159" i="1" s="1"/>
  <c r="AT160" i="1" s="1"/>
  <c r="AV144" i="1"/>
  <c r="AV145" i="1" s="1"/>
  <c r="AV146" i="1" s="1"/>
  <c r="AV147" i="1" s="1"/>
  <c r="AV148" i="1" s="1"/>
  <c r="AV149" i="1" s="1"/>
  <c r="AV150" i="1" s="1"/>
  <c r="AV151" i="1" s="1"/>
  <c r="AV152" i="1" s="1"/>
  <c r="AV153" i="1" s="1"/>
  <c r="AV154" i="1" s="1"/>
  <c r="AV155" i="1" s="1"/>
  <c r="AV156" i="1" s="1"/>
  <c r="AV157" i="1" s="1"/>
  <c r="AV158" i="1" s="1"/>
  <c r="AV159" i="1" s="1"/>
  <c r="AV160" i="1" s="1"/>
  <c r="AB168" i="1"/>
  <c r="CH138" i="1" s="1"/>
  <c r="CI144" i="1" s="1"/>
  <c r="AT171" i="1"/>
  <c r="AP133" i="1"/>
  <c r="H167" i="1"/>
  <c r="G168" i="1"/>
  <c r="G173" i="1"/>
  <c r="G170" i="1"/>
  <c r="G169" i="1"/>
  <c r="G175" i="1"/>
  <c r="G171" i="1"/>
  <c r="G174" i="1"/>
  <c r="G167" i="1"/>
  <c r="G172" i="1"/>
  <c r="AR152" i="1" l="1"/>
  <c r="CI155" i="1"/>
  <c r="CI141" i="1"/>
  <c r="CI140" i="1"/>
  <c r="CI158" i="1"/>
  <c r="CI153" i="1"/>
  <c r="CI154" i="1"/>
  <c r="CI143" i="1"/>
  <c r="CI160" i="1"/>
  <c r="CI148" i="1"/>
  <c r="CI147" i="1"/>
  <c r="CI146" i="1"/>
  <c r="CI150" i="1"/>
  <c r="CI149" i="1"/>
  <c r="CI157" i="1"/>
  <c r="CI159" i="1"/>
  <c r="CI145" i="1"/>
  <c r="CI151" i="1"/>
  <c r="CI142" i="1"/>
  <c r="CI152" i="1"/>
  <c r="CH162" i="1"/>
  <c r="AR153" i="1" l="1"/>
  <c r="G177" i="1"/>
  <c r="AA133" i="1"/>
  <c r="I21" i="1"/>
  <c r="BB142" i="1"/>
  <c r="H168" i="1"/>
  <c r="AR154" i="1" l="1"/>
  <c r="G178" i="1"/>
  <c r="I29" i="1"/>
  <c r="BB143" i="1"/>
  <c r="H169" i="1"/>
  <c r="AD142" i="1"/>
  <c r="AE142" i="1"/>
  <c r="AZ142" i="1"/>
  <c r="AY142" i="1"/>
  <c r="F142" i="1"/>
  <c r="F167" i="1"/>
  <c r="AS142" i="1"/>
  <c r="BA142" i="1"/>
  <c r="AW142" i="1"/>
  <c r="AR155" i="1" l="1"/>
  <c r="G179" i="1"/>
  <c r="AN168" i="1"/>
  <c r="AO143" i="1"/>
  <c r="BC142" i="1"/>
  <c r="AF142" i="1"/>
  <c r="H21" i="1"/>
  <c r="J21" i="1" s="1"/>
  <c r="AX142" i="1"/>
  <c r="AG142" i="1"/>
  <c r="H170" i="1"/>
  <c r="BB144" i="1"/>
  <c r="I32" i="1"/>
  <c r="AH33" i="2"/>
  <c r="AH32" i="2"/>
  <c r="AS143" i="1"/>
  <c r="BA143" i="1"/>
  <c r="F168" i="1"/>
  <c r="AV168" i="1"/>
  <c r="AR168" i="1"/>
  <c r="AW143" i="1"/>
  <c r="AG33" i="2"/>
  <c r="AG32" i="2"/>
  <c r="AR156" i="1" l="1"/>
  <c r="G180" i="1"/>
  <c r="AN169" i="1"/>
  <c r="AO144" i="1"/>
  <c r="AL168" i="1"/>
  <c r="AM143" i="1"/>
  <c r="AU143" i="1"/>
  <c r="H171" i="1"/>
  <c r="AK33" i="2"/>
  <c r="BB145" i="1"/>
  <c r="I36" i="1"/>
  <c r="AD143" i="1"/>
  <c r="AY143" i="1"/>
  <c r="AE143" i="1"/>
  <c r="F143" i="1"/>
  <c r="AZ143" i="1"/>
  <c r="AV169" i="1"/>
  <c r="AW144" i="1"/>
  <c r="BA144" i="1"/>
  <c r="AS144" i="1"/>
  <c r="AR169" i="1"/>
  <c r="F169" i="1"/>
  <c r="AO145" i="1"/>
  <c r="AI34" i="2"/>
  <c r="AK32" i="2"/>
  <c r="AH36" i="2"/>
  <c r="AH35" i="2"/>
  <c r="AJ34" i="2"/>
  <c r="AR157" i="1" l="1"/>
  <c r="G181" i="1"/>
  <c r="AJ37" i="2"/>
  <c r="AG143" i="1"/>
  <c r="AM144" i="1" s="1"/>
  <c r="AH38" i="2"/>
  <c r="AH39" i="2"/>
  <c r="AL34" i="2"/>
  <c r="AG35" i="2"/>
  <c r="AG36" i="2"/>
  <c r="AK36" i="2" s="1"/>
  <c r="H29" i="1"/>
  <c r="J29" i="1" s="1"/>
  <c r="AX143" i="1"/>
  <c r="AF143" i="1"/>
  <c r="BC143" i="1"/>
  <c r="AS145" i="1"/>
  <c r="BA145" i="1"/>
  <c r="AO146" i="1"/>
  <c r="AW145" i="1"/>
  <c r="F170" i="1"/>
  <c r="H172" i="1"/>
  <c r="BB146" i="1"/>
  <c r="I26" i="1"/>
  <c r="AR158" i="1" l="1"/>
  <c r="G182" i="1"/>
  <c r="AU144" i="1"/>
  <c r="AL169" i="1"/>
  <c r="F144" i="1"/>
  <c r="AY144" i="1"/>
  <c r="AD144" i="1"/>
  <c r="AX144" i="1" s="1"/>
  <c r="AE144" i="1"/>
  <c r="AJ40" i="2"/>
  <c r="AG38" i="2"/>
  <c r="AZ144" i="1"/>
  <c r="BB147" i="1"/>
  <c r="I25" i="1"/>
  <c r="AH10" i="2"/>
  <c r="AO147" i="1"/>
  <c r="F171" i="1"/>
  <c r="BA146" i="1"/>
  <c r="AW146" i="1"/>
  <c r="AS146" i="1"/>
  <c r="H173" i="1"/>
  <c r="AH42" i="2"/>
  <c r="AH41" i="2"/>
  <c r="AI37" i="2"/>
  <c r="AL37" i="2" s="1"/>
  <c r="AK35" i="2"/>
  <c r="AR159" i="1" l="1"/>
  <c r="G183" i="1"/>
  <c r="AG144" i="1"/>
  <c r="AG41" i="2" s="1"/>
  <c r="H32" i="1"/>
  <c r="J32" i="1" s="1"/>
  <c r="AF144" i="1"/>
  <c r="AY145" i="1"/>
  <c r="BC144" i="1"/>
  <c r="AG39" i="2"/>
  <c r="AK39" i="2" s="1"/>
  <c r="AU145" i="1"/>
  <c r="AM145" i="1"/>
  <c r="AJ43" i="2"/>
  <c r="AZ145" i="1"/>
  <c r="F145" i="1"/>
  <c r="AE145" i="1"/>
  <c r="AD145" i="1"/>
  <c r="AF145" i="1" s="1"/>
  <c r="AH45" i="2"/>
  <c r="AH44" i="2"/>
  <c r="H174" i="1"/>
  <c r="I20" i="1"/>
  <c r="BB148" i="1"/>
  <c r="AS147" i="1"/>
  <c r="AH11" i="2"/>
  <c r="AW147" i="1"/>
  <c r="BA147" i="1"/>
  <c r="F172" i="1"/>
  <c r="AO148" i="1"/>
  <c r="AK38" i="2"/>
  <c r="AR160" i="1" l="1"/>
  <c r="G184" i="1"/>
  <c r="AI40" i="2"/>
  <c r="AL40" i="2" s="1"/>
  <c r="AG42" i="2"/>
  <c r="AK42" i="2" s="1"/>
  <c r="AJ46" i="2"/>
  <c r="H36" i="1"/>
  <c r="J36" i="1" s="1"/>
  <c r="AX145" i="1"/>
  <c r="AG145" i="1"/>
  <c r="BC145" i="1"/>
  <c r="AH49" i="2"/>
  <c r="AK41" i="2"/>
  <c r="AW148" i="1"/>
  <c r="BA148" i="1"/>
  <c r="F173" i="1"/>
  <c r="AH12" i="2"/>
  <c r="AS148" i="1"/>
  <c r="AO149" i="1"/>
  <c r="BB149" i="1"/>
  <c r="I35" i="1"/>
  <c r="H175" i="1"/>
  <c r="G185" i="1" l="1"/>
  <c r="AI43" i="2"/>
  <c r="AL43" i="2" s="1"/>
  <c r="AM146" i="1"/>
  <c r="AO150" i="1"/>
  <c r="AW149" i="1"/>
  <c r="F174" i="1"/>
  <c r="BA149" i="1"/>
  <c r="AS149" i="1"/>
  <c r="AH13" i="2"/>
  <c r="I37" i="1"/>
  <c r="BB150" i="1"/>
  <c r="H176" i="1"/>
  <c r="AG10" i="2" l="1"/>
  <c r="AG45" i="2" s="1"/>
  <c r="AE146" i="1"/>
  <c r="AY146" i="1"/>
  <c r="AD146" i="1"/>
  <c r="BC146" i="1" s="1"/>
  <c r="AZ146" i="1"/>
  <c r="F146" i="1"/>
  <c r="AU146" i="1"/>
  <c r="AX146" i="1"/>
  <c r="H26" i="1"/>
  <c r="J26" i="1" s="1"/>
  <c r="AF146" i="1"/>
  <c r="AG146" i="1"/>
  <c r="AM147" i="1" s="1"/>
  <c r="H177" i="1"/>
  <c r="I33" i="1"/>
  <c r="BB151" i="1"/>
  <c r="BA150" i="1"/>
  <c r="F175" i="1"/>
  <c r="AH14" i="2"/>
  <c r="AS150" i="1"/>
  <c r="AW150" i="1"/>
  <c r="AO151" i="1"/>
  <c r="AG44" i="2" l="1"/>
  <c r="AK44" i="2" s="1"/>
  <c r="AU147" i="1"/>
  <c r="AG11" i="2"/>
  <c r="AD147" i="1"/>
  <c r="AE147" i="1"/>
  <c r="AZ147" i="1"/>
  <c r="AY147" i="1"/>
  <c r="F147" i="1"/>
  <c r="AK45" i="2"/>
  <c r="AO152" i="1"/>
  <c r="AW151" i="1"/>
  <c r="AS151" i="1"/>
  <c r="AH15" i="2"/>
  <c r="BA151" i="1"/>
  <c r="F176" i="1"/>
  <c r="BB152" i="1"/>
  <c r="I34" i="1"/>
  <c r="H178" i="1"/>
  <c r="AG49" i="2" l="1"/>
  <c r="AG50" i="2" s="1"/>
  <c r="AI46" i="2"/>
  <c r="AL46" i="2" s="1"/>
  <c r="AF147" i="1"/>
  <c r="AX147" i="1"/>
  <c r="BC147" i="1"/>
  <c r="H25" i="1"/>
  <c r="J25" i="1" s="1"/>
  <c r="AG147" i="1"/>
  <c r="AM148" i="1" s="1"/>
  <c r="H179" i="1"/>
  <c r="I30" i="1"/>
  <c r="BB153" i="1"/>
  <c r="AO153" i="1"/>
  <c r="AS152" i="1"/>
  <c r="AW152" i="1"/>
  <c r="BA152" i="1"/>
  <c r="AH16" i="2"/>
  <c r="F177" i="1"/>
  <c r="AU148" i="1" l="1"/>
  <c r="F148" i="1"/>
  <c r="AD148" i="1"/>
  <c r="AY148" i="1"/>
  <c r="AZ148" i="1"/>
  <c r="AE148" i="1"/>
  <c r="AG12" i="2"/>
  <c r="AW153" i="1"/>
  <c r="AO154" i="1"/>
  <c r="F178" i="1"/>
  <c r="AH17" i="2"/>
  <c r="BA153" i="1"/>
  <c r="AS153" i="1"/>
  <c r="H180" i="1"/>
  <c r="BB154" i="1"/>
  <c r="I27" i="1"/>
  <c r="BC148" i="1" l="1"/>
  <c r="AX148" i="1"/>
  <c r="AF148" i="1"/>
  <c r="H20" i="1"/>
  <c r="J20" i="1" s="1"/>
  <c r="AG148" i="1"/>
  <c r="AM149" i="1" s="1"/>
  <c r="I28" i="1"/>
  <c r="BB155" i="1"/>
  <c r="AH18" i="2"/>
  <c r="AO155" i="1"/>
  <c r="BA154" i="1"/>
  <c r="F179" i="1"/>
  <c r="AS154" i="1"/>
  <c r="AW154" i="1"/>
  <c r="H181" i="1"/>
  <c r="AU149" i="1" l="1"/>
  <c r="AD149" i="1"/>
  <c r="AE149" i="1"/>
  <c r="AY149" i="1"/>
  <c r="F149" i="1"/>
  <c r="AZ149" i="1"/>
  <c r="AG13" i="2"/>
  <c r="BB156" i="1"/>
  <c r="I23" i="1"/>
  <c r="H182" i="1"/>
  <c r="AW155" i="1"/>
  <c r="BA155" i="1"/>
  <c r="AS155" i="1"/>
  <c r="AH19" i="2"/>
  <c r="F180" i="1"/>
  <c r="AO156" i="1"/>
  <c r="BC149" i="1" l="1"/>
  <c r="AF149" i="1"/>
  <c r="AX149" i="1"/>
  <c r="H35" i="1"/>
  <c r="J35" i="1" s="1"/>
  <c r="AG149" i="1"/>
  <c r="AM150" i="1" s="1"/>
  <c r="H183" i="1"/>
  <c r="I31" i="1"/>
  <c r="BB157" i="1"/>
  <c r="AO157" i="1"/>
  <c r="F181" i="1"/>
  <c r="BA156" i="1"/>
  <c r="AH20" i="2"/>
  <c r="AW156" i="1"/>
  <c r="AS156" i="1"/>
  <c r="AU150" i="1" l="1"/>
  <c r="AY150" i="1"/>
  <c r="F150" i="1"/>
  <c r="AD150" i="1"/>
  <c r="AZ150" i="1"/>
  <c r="AE150" i="1"/>
  <c r="AG14" i="2"/>
  <c r="BA157" i="1"/>
  <c r="AW157" i="1"/>
  <c r="F182" i="1"/>
  <c r="AR202" i="1"/>
  <c r="AR203" i="1" s="1"/>
  <c r="AS157" i="1"/>
  <c r="AO158" i="1"/>
  <c r="AH21" i="2"/>
  <c r="H184" i="1"/>
  <c r="BB158" i="1"/>
  <c r="I24" i="1"/>
  <c r="AX150" i="1" l="1"/>
  <c r="BC150" i="1"/>
  <c r="AF150" i="1"/>
  <c r="H37" i="1"/>
  <c r="J37" i="1" s="1"/>
  <c r="AG150" i="1"/>
  <c r="AM151" i="1" s="1"/>
  <c r="BB159" i="1"/>
  <c r="I19" i="1"/>
  <c r="AO159" i="1"/>
  <c r="AS158" i="1"/>
  <c r="AW158" i="1"/>
  <c r="F183" i="1"/>
  <c r="AH22" i="2"/>
  <c r="BA158" i="1"/>
  <c r="H185" i="1"/>
  <c r="AC161" i="1"/>
  <c r="BN162" i="1" l="1"/>
  <c r="BF162" i="1"/>
  <c r="BV162" i="1"/>
  <c r="AU151" i="1"/>
  <c r="AY151" i="1"/>
  <c r="AE151" i="1"/>
  <c r="F151" i="1"/>
  <c r="AG15" i="2"/>
  <c r="AZ151" i="1"/>
  <c r="AD151" i="1"/>
  <c r="AH23" i="2"/>
  <c r="AS159" i="1"/>
  <c r="F184" i="1"/>
  <c r="BA159" i="1"/>
  <c r="AW159" i="1"/>
  <c r="AO160" i="1"/>
  <c r="BB160" i="1"/>
  <c r="I18" i="1"/>
  <c r="AK160" i="1" l="1"/>
  <c r="AI160" i="1"/>
  <c r="AX151" i="1"/>
  <c r="H33" i="1"/>
  <c r="J33" i="1" s="1"/>
  <c r="BC151" i="1"/>
  <c r="AF151" i="1"/>
  <c r="AG151" i="1"/>
  <c r="AM152" i="1" s="1"/>
  <c r="AW160" i="1"/>
  <c r="F185" i="1"/>
  <c r="AH24" i="2"/>
  <c r="BA160" i="1"/>
  <c r="BF160" i="1" s="1"/>
  <c r="AS160" i="1"/>
  <c r="AU152" i="1" l="1"/>
  <c r="F152" i="1"/>
  <c r="AY152" i="1"/>
  <c r="AG16" i="2"/>
  <c r="AE152" i="1"/>
  <c r="AZ152" i="1"/>
  <c r="AD152" i="1"/>
  <c r="BF140" i="1"/>
  <c r="BG140" i="1" s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59" i="1"/>
  <c r="BF169" i="1" l="1"/>
  <c r="BF175" i="1"/>
  <c r="BF166" i="1"/>
  <c r="BG166" i="1" s="1"/>
  <c r="BF174" i="1"/>
  <c r="BF173" i="1"/>
  <c r="BF171" i="1"/>
  <c r="BF168" i="1"/>
  <c r="AX152" i="1"/>
  <c r="AF152" i="1"/>
  <c r="H34" i="1"/>
  <c r="J34" i="1" s="1"/>
  <c r="BC152" i="1"/>
  <c r="AG152" i="1"/>
  <c r="AM153" i="1" s="1"/>
  <c r="BF172" i="1"/>
  <c r="BF170" i="1"/>
  <c r="BF165" i="1"/>
  <c r="BG165" i="1" s="1"/>
  <c r="BF167" i="1"/>
  <c r="BG141" i="1"/>
  <c r="BG142" i="1" s="1"/>
  <c r="BG143" i="1" s="1"/>
  <c r="BG144" i="1" s="1"/>
  <c r="BG145" i="1" s="1"/>
  <c r="BG146" i="1" s="1"/>
  <c r="BG147" i="1" s="1"/>
  <c r="BG148" i="1" s="1"/>
  <c r="BG149" i="1" s="1"/>
  <c r="BG150" i="1" s="1"/>
  <c r="BG151" i="1" s="1"/>
  <c r="BG152" i="1" s="1"/>
  <c r="BG153" i="1" s="1"/>
  <c r="BG154" i="1" s="1"/>
  <c r="BG155" i="1" s="1"/>
  <c r="BG156" i="1" s="1"/>
  <c r="BG157" i="1" s="1"/>
  <c r="BG158" i="1" s="1"/>
  <c r="BG159" i="1" s="1"/>
  <c r="BG160" i="1" s="1"/>
  <c r="BF179" i="1"/>
  <c r="BF180" i="1"/>
  <c r="BF177" i="1"/>
  <c r="BF182" i="1"/>
  <c r="BF181" i="1"/>
  <c r="BF178" i="1"/>
  <c r="BF176" i="1"/>
  <c r="BF183" i="1"/>
  <c r="BG167" i="1" l="1"/>
  <c r="BG168" i="1" s="1"/>
  <c r="BG169" i="1" s="1"/>
  <c r="BG170" i="1" s="1"/>
  <c r="BG171" i="1" s="1"/>
  <c r="BG172" i="1" s="1"/>
  <c r="BG173" i="1" s="1"/>
  <c r="BG174" i="1" s="1"/>
  <c r="BG175" i="1" s="1"/>
  <c r="BG176" i="1" s="1"/>
  <c r="BG177" i="1" s="1"/>
  <c r="BG178" i="1" s="1"/>
  <c r="BG179" i="1" s="1"/>
  <c r="BG180" i="1" s="1"/>
  <c r="BG181" i="1" s="1"/>
  <c r="BG182" i="1" s="1"/>
  <c r="BG183" i="1" s="1"/>
  <c r="BF184" i="1"/>
  <c r="AU153" i="1"/>
  <c r="AD153" i="1"/>
  <c r="AE153" i="1"/>
  <c r="AY153" i="1"/>
  <c r="AG17" i="2"/>
  <c r="F153" i="1"/>
  <c r="AZ153" i="1"/>
  <c r="BC153" i="1" l="1"/>
  <c r="AX153" i="1"/>
  <c r="H30" i="1"/>
  <c r="J30" i="1" s="1"/>
  <c r="AF153" i="1"/>
  <c r="AG153" i="1"/>
  <c r="AM154" i="1" s="1"/>
  <c r="H152" i="1"/>
  <c r="H159" i="1"/>
  <c r="H157" i="1"/>
  <c r="H153" i="1"/>
  <c r="H146" i="1"/>
  <c r="H156" i="1"/>
  <c r="H158" i="1"/>
  <c r="H147" i="1"/>
  <c r="H154" i="1"/>
  <c r="H151" i="1"/>
  <c r="H150" i="1"/>
  <c r="H149" i="1"/>
  <c r="H148" i="1"/>
  <c r="H145" i="1"/>
  <c r="H142" i="1"/>
  <c r="H155" i="1"/>
  <c r="H144" i="1"/>
  <c r="AT169" i="1"/>
  <c r="H143" i="1"/>
  <c r="AT168" i="1"/>
  <c r="AU154" i="1" l="1"/>
  <c r="AD154" i="1"/>
  <c r="AE154" i="1"/>
  <c r="AZ154" i="1"/>
  <c r="AG18" i="2"/>
  <c r="AY154" i="1"/>
  <c r="F154" i="1"/>
  <c r="H160" i="1"/>
  <c r="H27" i="1" l="1"/>
  <c r="J27" i="1" s="1"/>
  <c r="AF154" i="1"/>
  <c r="AX154" i="1"/>
  <c r="BC154" i="1"/>
  <c r="AG154" i="1"/>
  <c r="AM155" i="1" s="1"/>
  <c r="AU155" i="1" l="1"/>
  <c r="F155" i="1"/>
  <c r="AE155" i="1"/>
  <c r="AZ155" i="1"/>
  <c r="AD155" i="1"/>
  <c r="AY155" i="1"/>
  <c r="AG19" i="2"/>
  <c r="AX155" i="1" l="1"/>
  <c r="BC155" i="1"/>
  <c r="AF155" i="1"/>
  <c r="H28" i="1"/>
  <c r="J28" i="1" s="1"/>
  <c r="AG155" i="1"/>
  <c r="AM156" i="1" s="1"/>
  <c r="AU156" i="1" l="1"/>
  <c r="F156" i="1"/>
  <c r="AZ156" i="1"/>
  <c r="AG20" i="2"/>
  <c r="AD156" i="1"/>
  <c r="AY156" i="1"/>
  <c r="AE156" i="1"/>
  <c r="BC156" i="1" l="1"/>
  <c r="AX156" i="1"/>
  <c r="AF156" i="1"/>
  <c r="H23" i="1"/>
  <c r="J23" i="1" s="1"/>
  <c r="AG156" i="1"/>
  <c r="AM157" i="1" s="1"/>
  <c r="AU157" i="1" l="1"/>
  <c r="AG21" i="2"/>
  <c r="AE157" i="1"/>
  <c r="AD157" i="1"/>
  <c r="F157" i="1"/>
  <c r="AY157" i="1"/>
  <c r="AZ157" i="1"/>
  <c r="H31" i="1" l="1"/>
  <c r="J31" i="1" s="1"/>
  <c r="AX157" i="1"/>
  <c r="AF157" i="1"/>
  <c r="BC157" i="1"/>
  <c r="AG157" i="1"/>
  <c r="AM158" i="1" s="1"/>
  <c r="AU158" i="1" l="1"/>
  <c r="F158" i="1"/>
  <c r="AD158" i="1"/>
  <c r="AE158" i="1"/>
  <c r="AZ158" i="1"/>
  <c r="AG22" i="2"/>
  <c r="AY158" i="1"/>
  <c r="AF158" i="1" l="1"/>
  <c r="AX158" i="1"/>
  <c r="H24" i="1"/>
  <c r="J24" i="1" s="1"/>
  <c r="BC158" i="1"/>
  <c r="AG158" i="1"/>
  <c r="AM159" i="1" s="1"/>
  <c r="AU159" i="1" l="1"/>
  <c r="F159" i="1"/>
  <c r="AZ159" i="1"/>
  <c r="AY159" i="1"/>
  <c r="AE159" i="1"/>
  <c r="AG23" i="2"/>
  <c r="AD159" i="1"/>
  <c r="BC159" i="1" l="1"/>
  <c r="H19" i="1"/>
  <c r="J19" i="1" s="1"/>
  <c r="AF159" i="1"/>
  <c r="AX159" i="1"/>
  <c r="AG159" i="1"/>
  <c r="AM160" i="1" s="1"/>
  <c r="AZ160" i="1" l="1"/>
  <c r="BD159" i="1" s="1"/>
  <c r="AD160" i="1"/>
  <c r="CF138" i="1"/>
  <c r="BD162" i="1"/>
  <c r="F160" i="1"/>
  <c r="BL162" i="1"/>
  <c r="AG24" i="2"/>
  <c r="AY160" i="1"/>
  <c r="AE160" i="1"/>
  <c r="AU160" i="1"/>
  <c r="CF162" i="1" l="1"/>
  <c r="CG138" i="1"/>
  <c r="CG139" i="1" s="1"/>
  <c r="CG140" i="1" s="1"/>
  <c r="CG141" i="1" s="1"/>
  <c r="CG142" i="1" s="1"/>
  <c r="CG143" i="1" s="1"/>
  <c r="CG144" i="1" s="1"/>
  <c r="CG145" i="1" s="1"/>
  <c r="CG146" i="1" s="1"/>
  <c r="CG147" i="1" s="1"/>
  <c r="CG148" i="1" s="1"/>
  <c r="CG149" i="1" s="1"/>
  <c r="CG150" i="1" s="1"/>
  <c r="CG151" i="1" s="1"/>
  <c r="CG152" i="1" s="1"/>
  <c r="CG153" i="1" s="1"/>
  <c r="CG154" i="1" s="1"/>
  <c r="CG155" i="1" s="1"/>
  <c r="CG156" i="1" s="1"/>
  <c r="CG157" i="1" s="1"/>
  <c r="CG158" i="1" s="1"/>
  <c r="CG159" i="1" s="1"/>
  <c r="CG160" i="1" s="1"/>
  <c r="AD161" i="1"/>
  <c r="BC160" i="1"/>
  <c r="BD160" i="1" s="1"/>
  <c r="AX160" i="1"/>
  <c r="AF160" i="1"/>
  <c r="H18" i="1"/>
  <c r="J18" i="1" s="1"/>
  <c r="AG160" i="1"/>
  <c r="BE159" i="1"/>
  <c r="BE148" i="1"/>
  <c r="BD147" i="1"/>
  <c r="BE149" i="1"/>
  <c r="BE160" i="1"/>
  <c r="BD149" i="1"/>
  <c r="BE141" i="1"/>
  <c r="BE140" i="1"/>
  <c r="BD150" i="1"/>
  <c r="BD151" i="1"/>
  <c r="BE145" i="1"/>
  <c r="BD141" i="1"/>
  <c r="BD140" i="1"/>
  <c r="BE152" i="1"/>
  <c r="BD142" i="1"/>
  <c r="BE143" i="1"/>
  <c r="BD144" i="1"/>
  <c r="BE146" i="1"/>
  <c r="BD146" i="1"/>
  <c r="BD148" i="1"/>
  <c r="BE142" i="1"/>
  <c r="BE144" i="1"/>
  <c r="BE150" i="1"/>
  <c r="BE151" i="1"/>
  <c r="BD143" i="1"/>
  <c r="BE147" i="1"/>
  <c r="BD145" i="1"/>
  <c r="BD152" i="1"/>
  <c r="BE153" i="1"/>
  <c r="BD153" i="1"/>
  <c r="BE154" i="1"/>
  <c r="BD154" i="1"/>
  <c r="BE155" i="1"/>
  <c r="BD155" i="1"/>
  <c r="BE156" i="1"/>
  <c r="BD156" i="1"/>
  <c r="BE157" i="1"/>
  <c r="BD157" i="1"/>
  <c r="BE158" i="1"/>
  <c r="BD158" i="1"/>
  <c r="BD174" i="1" l="1"/>
  <c r="BD173" i="1"/>
  <c r="BD176" i="1"/>
  <c r="BD175" i="1"/>
  <c r="BD166" i="1"/>
  <c r="BE166" i="1" s="1"/>
  <c r="BD170" i="1"/>
  <c r="BD181" i="1"/>
  <c r="BD167" i="1"/>
  <c r="AF161" i="1"/>
  <c r="BT162" i="1"/>
  <c r="BD172" i="1"/>
  <c r="BD179" i="1"/>
  <c r="BD168" i="1"/>
  <c r="BD171" i="1"/>
  <c r="BD169" i="1"/>
  <c r="BD180" i="1"/>
  <c r="BD183" i="1"/>
  <c r="BD165" i="1"/>
  <c r="BE165" i="1" s="1"/>
  <c r="BD178" i="1"/>
  <c r="BD177" i="1"/>
  <c r="BD182" i="1"/>
  <c r="BD184" i="1" l="1"/>
  <c r="BE167" i="1"/>
  <c r="BE168" i="1" s="1"/>
  <c r="BE169" i="1" s="1"/>
  <c r="BE170" i="1" s="1"/>
  <c r="BE171" i="1" s="1"/>
  <c r="BE172" i="1" s="1"/>
  <c r="BE173" i="1" s="1"/>
  <c r="BE174" i="1" s="1"/>
  <c r="BE175" i="1" s="1"/>
  <c r="BE176" i="1" s="1"/>
  <c r="BE177" i="1" s="1"/>
  <c r="BE178" i="1" s="1"/>
  <c r="BE179" i="1" s="1"/>
  <c r="BE180" i="1" s="1"/>
  <c r="BE181" i="1" s="1"/>
  <c r="BE182" i="1" s="1"/>
  <c r="BE183" i="1" s="1"/>
  <c r="AJ160" i="1" l="1"/>
  <c r="G142" i="1"/>
  <c r="AP170" i="1"/>
  <c r="AP143" i="1" s="1"/>
  <c r="AP144" i="1" l="1"/>
  <c r="AP145" i="1" s="1"/>
  <c r="AP146" i="1" s="1"/>
  <c r="AP147" i="1" s="1"/>
  <c r="AP148" i="1" s="1"/>
  <c r="AP149" i="1" s="1"/>
  <c r="AP150" i="1" s="1"/>
  <c r="AP151" i="1" s="1"/>
  <c r="AP152" i="1" s="1"/>
  <c r="AP153" i="1" s="1"/>
  <c r="AP154" i="1" s="1"/>
  <c r="AP155" i="1" s="1"/>
  <c r="AP156" i="1" s="1"/>
  <c r="AP157" i="1" s="1"/>
  <c r="AP158" i="1" s="1"/>
  <c r="AP159" i="1" s="1"/>
  <c r="AP160" i="1" s="1"/>
  <c r="AP171" i="1"/>
  <c r="G160" i="1"/>
  <c r="G143" i="1" l="1"/>
  <c r="AP168" i="1"/>
  <c r="AQ143" i="1"/>
  <c r="AQ144" i="1" l="1"/>
  <c r="G144" i="1"/>
  <c r="AP169" i="1"/>
  <c r="AQ145" i="1" l="1"/>
  <c r="G145" i="1"/>
  <c r="AQ146" i="1" l="1"/>
  <c r="G146" i="1"/>
  <c r="G147" i="1" l="1"/>
  <c r="AQ147" i="1"/>
  <c r="G148" i="1" l="1"/>
  <c r="AQ148" i="1"/>
  <c r="G149" i="1" l="1"/>
  <c r="AQ149" i="1"/>
  <c r="G150" i="1" l="1"/>
  <c r="AQ150" i="1"/>
  <c r="G151" i="1" l="1"/>
  <c r="AQ151" i="1"/>
  <c r="G152" i="1" l="1"/>
  <c r="AQ152" i="1"/>
  <c r="G153" i="1" l="1"/>
  <c r="AQ153" i="1"/>
  <c r="AQ154" i="1" l="1"/>
  <c r="G154" i="1"/>
  <c r="AQ155" i="1" l="1"/>
  <c r="G155" i="1"/>
  <c r="AQ156" i="1" l="1"/>
  <c r="G156" i="1"/>
  <c r="AQ157" i="1" l="1"/>
  <c r="AP202" i="1"/>
  <c r="AP203" i="1" s="1"/>
  <c r="G157" i="1"/>
  <c r="AQ158" i="1" l="1"/>
  <c r="G158" i="1"/>
  <c r="AQ159" i="1" l="1"/>
  <c r="G159" i="1"/>
  <c r="AQ160" i="1"/>
  <c r="AH16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Gernot</author>
  </authors>
  <commentList>
    <comment ref="CA156" authorId="0" shapeId="0" xr:uid="{36328D59-F7A0-4246-B53E-76B7CFCACFD6}">
      <text>
        <r>
          <rPr>
            <b/>
            <sz val="9"/>
            <color indexed="81"/>
            <rFont val="Segoe UI"/>
            <family val="2"/>
          </rPr>
          <t>Gernot:</t>
        </r>
        <r>
          <rPr>
            <sz val="9"/>
            <color indexed="81"/>
            <rFont val="Segoe UI"/>
            <family val="2"/>
          </rPr>
          <t xml:space="preserve">
ohne Tag 1!</t>
        </r>
      </text>
    </comment>
    <comment ref="CE156" authorId="0" shapeId="0" xr:uid="{F8D27A19-234A-4AB5-AB19-4B32B0178038}">
      <text>
        <r>
          <rPr>
            <b/>
            <sz val="9"/>
            <color indexed="81"/>
            <rFont val="Segoe UI"/>
            <family val="2"/>
          </rPr>
          <t>Gernot:</t>
        </r>
        <r>
          <rPr>
            <sz val="9"/>
            <color indexed="81"/>
            <rFont val="Segoe UI"/>
            <family val="2"/>
          </rPr>
          <t xml:space="preserve">
ohne Tag 1!</t>
        </r>
      </text>
    </comment>
    <comment ref="CI156" authorId="0" shapeId="0" xr:uid="{146B68AE-C9F4-46E9-80BD-9B0F0C443FC4}">
      <text>
        <r>
          <rPr>
            <b/>
            <sz val="9"/>
            <color indexed="81"/>
            <rFont val="Segoe UI"/>
            <family val="2"/>
          </rPr>
          <t>Gernot:</t>
        </r>
        <r>
          <rPr>
            <sz val="9"/>
            <color indexed="81"/>
            <rFont val="Segoe UI"/>
            <family val="2"/>
          </rPr>
          <t xml:space="preserve">
ohne Tag 1!</t>
        </r>
      </text>
    </comment>
    <comment ref="CN156" authorId="0" shapeId="0" xr:uid="{FE4D53D6-62EA-46C7-B3CE-6C8A0A0B53B1}">
      <text>
        <r>
          <rPr>
            <b/>
            <sz val="9"/>
            <color indexed="81"/>
            <rFont val="Segoe UI"/>
            <family val="2"/>
          </rPr>
          <t>Gernot:</t>
        </r>
        <r>
          <rPr>
            <sz val="9"/>
            <color indexed="81"/>
            <rFont val="Segoe UI"/>
            <family val="2"/>
          </rPr>
          <t xml:space="preserve">
ohne Tag 1!</t>
        </r>
      </text>
    </comment>
  </commentList>
</comments>
</file>

<file path=xl/sharedStrings.xml><?xml version="1.0" encoding="utf-8"?>
<sst xmlns="http://schemas.openxmlformats.org/spreadsheetml/2006/main" count="1586" uniqueCount="385">
  <si>
    <t>Die grün markierten Produkte hast du bei dem entsprechenden Paket inklusive.</t>
  </si>
  <si>
    <t>↓</t>
  </si>
  <si>
    <t>Format</t>
  </si>
  <si>
    <t>UVP-Preis
im F-Shop</t>
  </si>
  <si>
    <t>µ</t>
  </si>
  <si>
    <t>-</t>
  </si>
  <si>
    <t>Schätzpreis, Preis nach CF ist unbekannt</t>
  </si>
  <si>
    <t>Deine Kosten</t>
  </si>
  <si>
    <t>/</t>
  </si>
  <si>
    <t>Deine Ersparnis</t>
  </si>
  <si>
    <t>Deine zusätzlichen Produkte</t>
  </si>
  <si>
    <t>x</t>
  </si>
  <si>
    <r>
      <t xml:space="preserve">Diesen Rabatt gewährt </t>
    </r>
    <r>
      <rPr>
        <b/>
        <i/>
        <sz val="10"/>
        <color rgb="FF0070C0"/>
        <rFont val="Book Antiqua"/>
        <family val="1"/>
      </rPr>
      <t>deine Kombination</t>
    </r>
    <r>
      <rPr>
        <b/>
        <i/>
        <sz val="10"/>
        <color theme="1"/>
        <rFont val="Book Antiqua"/>
        <family val="1"/>
      </rPr>
      <t xml:space="preserve"> somit gegenüber dem Einkauf </t>
    </r>
    <r>
      <rPr>
        <b/>
        <i/>
        <sz val="10"/>
        <color rgb="FFFF0000"/>
        <rFont val="Book Antiqua"/>
        <family val="1"/>
      </rPr>
      <t xml:space="preserve">deines Wunschpakets </t>
    </r>
    <r>
      <rPr>
        <b/>
        <i/>
        <sz val="10"/>
        <color theme="1"/>
        <rFont val="Book Antiqua"/>
        <family val="1"/>
      </rPr>
      <t>(nach dem Crowdfunding) im F-Shop:</t>
    </r>
  </si>
  <si>
    <t>µ
µ</t>
  </si>
  <si>
    <t>Preis als
Zusatz-produkt</t>
  </si>
  <si>
    <t>Kein Paket</t>
  </si>
  <si>
    <t>Donnerstag</t>
  </si>
  <si>
    <t>Datum</t>
  </si>
  <si>
    <t>Backer</t>
  </si>
  <si>
    <t>€</t>
  </si>
  <si>
    <t>erreichte Ziele</t>
  </si>
  <si>
    <t>nächste Stufe</t>
  </si>
  <si>
    <t>1.</t>
  </si>
  <si>
    <t>2.</t>
  </si>
  <si>
    <t>5.</t>
  </si>
  <si>
    <t>3.</t>
  </si>
  <si>
    <t>7.</t>
  </si>
  <si>
    <t>10.</t>
  </si>
  <si>
    <t>9.</t>
  </si>
  <si>
    <t>11.</t>
  </si>
  <si>
    <t>(alle Angaben ohne Gewähr!)</t>
  </si>
  <si>
    <t>Anzahl Unterstützer je Dankeschön</t>
  </si>
  <si>
    <t>13.</t>
  </si>
  <si>
    <t>15.</t>
  </si>
  <si>
    <t>Tag</t>
  </si>
  <si>
    <t>Wochentag</t>
  </si>
  <si>
    <t>Timecode</t>
  </si>
  <si>
    <t>Uhrzeit</t>
  </si>
  <si>
    <t>h ges.</t>
  </si>
  <si>
    <t>h Diff.</t>
  </si>
  <si>
    <t>€ ges. Ist</t>
  </si>
  <si>
    <t>Abw.</t>
  </si>
  <si>
    <t>€ Diff.</t>
  </si>
  <si>
    <t>Backer ges.</t>
  </si>
  <si>
    <t>€/Backer</t>
  </si>
  <si>
    <t>€/Tag</t>
  </si>
  <si>
    <t>€/Tag ges.</t>
  </si>
  <si>
    <t>Backer Diff.</t>
  </si>
  <si>
    <t>Schnitt l. 5 Tage</t>
  </si>
  <si>
    <t>€/Backer NEU</t>
  </si>
  <si>
    <t>DSK:Fasar</t>
  </si>
  <si>
    <t>AVENTURIA:Nedime</t>
  </si>
  <si>
    <t>DSA:Werkzeuge</t>
  </si>
  <si>
    <t>DSA:Thorwal</t>
  </si>
  <si>
    <t>%</t>
  </si>
  <si>
    <t>Original</t>
  </si>
  <si>
    <t>Normiert</t>
  </si>
  <si>
    <t>Tag 1 mal X</t>
  </si>
  <si>
    <t>Thorwal norm (€)</t>
  </si>
  <si>
    <t>Thorwal norm (Backer)</t>
  </si>
  <si>
    <t>Werkzeuge norm (€)</t>
  </si>
  <si>
    <t>Werkzeuge norm (Backer)</t>
  </si>
  <si>
    <t>Mythos norm (€)</t>
  </si>
  <si>
    <t>Mythos norm (Backer)</t>
  </si>
  <si>
    <t>Thorwal (€)</t>
  </si>
  <si>
    <t>Thorwal (Backer)</t>
  </si>
  <si>
    <t>Werkzeuge (€)</t>
  </si>
  <si>
    <t>Werkzeuge (Backer)</t>
  </si>
  <si>
    <t>Mythos (€)</t>
  </si>
  <si>
    <t>Mythos (Backer)</t>
  </si>
  <si>
    <t>Aventuria (€) %</t>
  </si>
  <si>
    <t>Aventuria (Backer) %</t>
  </si>
  <si>
    <t>Thorwal (€) %</t>
  </si>
  <si>
    <t>Thorwal (Backer) %</t>
  </si>
  <si>
    <t>Werkzeuge (€) %</t>
  </si>
  <si>
    <t>Werkzeuge (Backer) %</t>
  </si>
  <si>
    <t>Mythos (€) %</t>
  </si>
  <si>
    <t>Mthos (Backer) %</t>
  </si>
  <si>
    <t>MP TW (€)</t>
  </si>
  <si>
    <t>MP TW (B)</t>
  </si>
  <si>
    <t>MP AV (€)</t>
  </si>
  <si>
    <t>MP AV (B)</t>
  </si>
  <si>
    <t>DSK (€)</t>
  </si>
  <si>
    <t>DSK (Backer)</t>
  </si>
  <si>
    <t>DSK norm (€)</t>
  </si>
  <si>
    <t>DSK norm (Backer)</t>
  </si>
  <si>
    <t>MP DSK (€)</t>
  </si>
  <si>
    <t>MP DSK (B)</t>
  </si>
  <si>
    <t>Tag 2 mal X</t>
  </si>
  <si>
    <t>Min:</t>
  </si>
  <si>
    <t>Max:</t>
  </si>
  <si>
    <t>B</t>
  </si>
  <si>
    <t>€ kum.</t>
  </si>
  <si>
    <t>Backer kum</t>
  </si>
  <si>
    <t>Vorlage Tag 3</t>
  </si>
  <si>
    <t>4* Tag 2</t>
  </si>
  <si>
    <t>Min. Schätzung</t>
  </si>
  <si>
    <t>Max. Schätzung</t>
  </si>
  <si>
    <t>Stand Ist/HR</t>
  </si>
  <si>
    <t>Anmerkungen</t>
  </si>
  <si>
    <t>Summe</t>
  </si>
  <si>
    <t>4.</t>
  </si>
  <si>
    <t>6.</t>
  </si>
  <si>
    <t>8.</t>
  </si>
  <si>
    <t>12.</t>
  </si>
  <si>
    <t>14.</t>
  </si>
  <si>
    <t>16.</t>
  </si>
  <si>
    <t>17.</t>
  </si>
  <si>
    <t>18.</t>
  </si>
  <si>
    <t>20.</t>
  </si>
  <si>
    <t>21.</t>
  </si>
  <si>
    <t>19.</t>
  </si>
  <si>
    <t>Wunsch-
produkte</t>
  </si>
  <si>
    <t>Nedime (€)</t>
  </si>
  <si>
    <t>Nedime (Backer)</t>
  </si>
  <si>
    <t>Mythen (€)</t>
  </si>
  <si>
    <t>Mythen (Backer)</t>
  </si>
  <si>
    <t>Mythen norm (€)</t>
  </si>
  <si>
    <t>Mythen norm (Backer)</t>
  </si>
  <si>
    <t>Aventuria:Mythen&amp;Legenden</t>
  </si>
  <si>
    <t>€ Summe</t>
  </si>
  <si>
    <t>MP WM (€)</t>
  </si>
  <si>
    <t>MP WM (B)</t>
  </si>
  <si>
    <t>Tag 1</t>
  </si>
  <si>
    <t>Tag 2</t>
  </si>
  <si>
    <t>Min.</t>
  </si>
  <si>
    <t>Max.</t>
  </si>
  <si>
    <t>Kalkulation min.</t>
  </si>
  <si>
    <t>Kalkulation max.</t>
  </si>
  <si>
    <t>€ ges.</t>
  </si>
  <si>
    <t>Prognose</t>
  </si>
  <si>
    <t>DSK (B)</t>
  </si>
  <si>
    <t>WM (€)</t>
  </si>
  <si>
    <t>WM (B)</t>
  </si>
  <si>
    <t>AML (€)</t>
  </si>
  <si>
    <t>AML (B)</t>
  </si>
  <si>
    <t>ANB (€)</t>
  </si>
  <si>
    <t>ANB (B)</t>
  </si>
  <si>
    <t>AML (€/kum)</t>
  </si>
  <si>
    <t>AML (B/kum)</t>
  </si>
  <si>
    <t>DSK (€/kum)</t>
  </si>
  <si>
    <t>DSK (B/kum)</t>
  </si>
  <si>
    <t>WM (€/kum)</t>
  </si>
  <si>
    <t>WM (B/kum)</t>
  </si>
  <si>
    <t>ANB (€/kum)</t>
  </si>
  <si>
    <t>ANB (B/kum)</t>
  </si>
  <si>
    <t>Tag 3</t>
  </si>
  <si>
    <t>Schnitt</t>
  </si>
  <si>
    <r>
      <t xml:space="preserve">Die zusätzlichen Produkte, die du </t>
    </r>
    <r>
      <rPr>
        <b/>
        <i/>
        <sz val="10"/>
        <color rgb="FF0070C0"/>
        <rFont val="Book Antiqua"/>
        <family val="1"/>
      </rPr>
      <t>bei deiner Kombination</t>
    </r>
    <r>
      <rPr>
        <b/>
        <i/>
        <sz val="10"/>
        <color theme="1"/>
        <rFont val="Book Antiqua"/>
        <family val="1"/>
      </rPr>
      <t xml:space="preserve"> erhältst, die </t>
    </r>
    <r>
      <rPr>
        <b/>
        <i/>
        <sz val="10"/>
        <color rgb="FFFF0000"/>
        <rFont val="Book Antiqua"/>
        <family val="1"/>
      </rPr>
      <t>nicht Teil deines Wunschpakets</t>
    </r>
    <r>
      <rPr>
        <b/>
        <i/>
        <sz val="10"/>
        <color theme="1"/>
        <rFont val="Book Antiqua"/>
        <family val="1"/>
      </rPr>
      <t xml:space="preserve"> sind, haben folgenden Wert:</t>
    </r>
  </si>
  <si>
    <r>
      <t xml:space="preserve">Diesen Gesamtrabatt gewährt </t>
    </r>
    <r>
      <rPr>
        <b/>
        <i/>
        <sz val="10"/>
        <color rgb="FF0070C0"/>
        <rFont val="Book Antiqua"/>
        <family val="1"/>
      </rPr>
      <t>deine Kombination</t>
    </r>
    <r>
      <rPr>
        <b/>
        <i/>
        <sz val="10"/>
        <color theme="1"/>
        <rFont val="Book Antiqua"/>
        <family val="1"/>
      </rPr>
      <t xml:space="preserve"> somit gegenüber dem Einkauf (nach dem Crowdfunding) im F-Shop insgesamt:</t>
    </r>
  </si>
  <si>
    <t>MP AML (€)</t>
  </si>
  <si>
    <t>MP AML (B)</t>
  </si>
  <si>
    <t>SOK (€)</t>
  </si>
  <si>
    <t>SOK (Backer)</t>
  </si>
  <si>
    <t>Werkzeuge</t>
  </si>
  <si>
    <t>Tag 3 mal X</t>
  </si>
  <si>
    <t>Tag 4 mal X</t>
  </si>
  <si>
    <t>Tag 5 mal X</t>
  </si>
  <si>
    <t>Tag 4</t>
  </si>
  <si>
    <t>Tag 5</t>
  </si>
  <si>
    <t>Tag 6 mal X</t>
  </si>
  <si>
    <t>Tag 6</t>
  </si>
  <si>
    <t>Tag 7</t>
  </si>
  <si>
    <t>Tag 7 mal X</t>
  </si>
  <si>
    <t>Diverse</t>
  </si>
  <si>
    <r>
      <rPr>
        <b/>
        <sz val="10"/>
        <color rgb="FFFF0000"/>
        <rFont val="Book Antiqua"/>
        <family val="1"/>
      </rPr>
      <t xml:space="preserve">Kein Paket </t>
    </r>
    <r>
      <rPr>
        <b/>
        <sz val="10"/>
        <rFont val="Book Antiqua"/>
        <family val="1"/>
      </rPr>
      <t>(Kauf im F-Shop, nach dem CF)</t>
    </r>
  </si>
  <si>
    <r>
      <t xml:space="preserve">Das zahlst du insgesamt für </t>
    </r>
    <r>
      <rPr>
        <b/>
        <sz val="10"/>
        <color rgb="FF0070C0"/>
        <rFont val="Book Antiqua"/>
        <family val="1"/>
      </rPr>
      <t>die jeweilige Kombination</t>
    </r>
    <r>
      <rPr>
        <b/>
        <sz val="10"/>
        <color theme="1"/>
        <rFont val="Book Antiqua"/>
        <family val="1"/>
      </rPr>
      <t xml:space="preserve">, die </t>
    </r>
    <r>
      <rPr>
        <b/>
        <sz val="10"/>
        <color rgb="FFFF0000"/>
        <rFont val="Book Antiqua"/>
        <family val="1"/>
      </rPr>
      <t>dein Wunschpaket</t>
    </r>
    <r>
      <rPr>
        <b/>
        <sz val="10"/>
        <color theme="1"/>
        <rFont val="Book Antiqua"/>
        <family val="1"/>
      </rPr>
      <t xml:space="preserve"> inkl. der Zusatzprodukte mit abdeckt:</t>
    </r>
  </si>
  <si>
    <t>µ
µ
µ</t>
  </si>
  <si>
    <t>Thorwal</t>
  </si>
  <si>
    <t>ca.-Werte</t>
  </si>
  <si>
    <t>Die Sonnenküste</t>
  </si>
  <si>
    <t>UVP-Preis
im ebook-Shop</t>
  </si>
  <si>
    <t>Sonnenküste</t>
  </si>
  <si>
    <t>SOK (€/kum)</t>
  </si>
  <si>
    <t>SOK (B)</t>
  </si>
  <si>
    <t>SOK (B/kum)</t>
  </si>
  <si>
    <t>RE (€)</t>
  </si>
  <si>
    <t>RE (Backer)</t>
  </si>
  <si>
    <t>SOK norm (€)</t>
  </si>
  <si>
    <t>SOK norm (Backer)</t>
  </si>
  <si>
    <t>MP SOK (€)</t>
  </si>
  <si>
    <t>MP SOK (B)</t>
  </si>
  <si>
    <t>Rohals Erben</t>
  </si>
  <si>
    <t>Zusatzprodukt</t>
  </si>
  <si>
    <t>In %</t>
  </si>
  <si>
    <t>Dein Gesamtrabatt</t>
  </si>
  <si>
    <t>Box</t>
  </si>
  <si>
    <t>Schätzpreis; nicht als Zusatzprodukt erhältlich!</t>
  </si>
  <si>
    <t>Kauf nach CF</t>
  </si>
  <si>
    <r>
      <rPr>
        <b/>
        <u/>
        <sz val="14"/>
        <color theme="1"/>
        <rFont val="Book Antiqua"/>
        <family val="1"/>
      </rPr>
      <t>Physische</t>
    </r>
    <r>
      <rPr>
        <b/>
        <sz val="14"/>
        <color theme="1"/>
        <rFont val="Book Antiqua"/>
        <family val="1"/>
      </rPr>
      <t xml:space="preserve"> Produkte des Crowdfundings</t>
    </r>
  </si>
  <si>
    <r>
      <rPr>
        <b/>
        <u/>
        <sz val="14"/>
        <color theme="1"/>
        <rFont val="Book Antiqua"/>
        <family val="1"/>
      </rPr>
      <t>Digitale/Sonstige</t>
    </r>
    <r>
      <rPr>
        <b/>
        <sz val="14"/>
        <color theme="1"/>
        <rFont val="Book Antiqua"/>
        <family val="1"/>
      </rPr>
      <t xml:space="preserve"> Produkte des Crowdfundings</t>
    </r>
    <r>
      <rPr>
        <b/>
        <sz val="11"/>
        <color rgb="FFFF0000"/>
        <rFont val="Book Antiqua"/>
        <family val="1"/>
      </rPr>
      <t/>
    </r>
  </si>
  <si>
    <t>Mein Wunschpaket umfasst ("x" setzen)</t>
  </si>
  <si>
    <r>
      <t xml:space="preserve">Die orange markierten Produkte musst du bei dem entsprechenden Paket als Zusatzprodukt ("Zusatzprodukt") im CF hinzubuchen </t>
    </r>
    <r>
      <rPr>
        <b/>
        <sz val="10"/>
        <color rgb="FFFF0000"/>
        <rFont val="Book Antiqua"/>
        <family val="1"/>
      </rPr>
      <t>ODER</t>
    </r>
    <r>
      <rPr>
        <b/>
        <sz val="10"/>
        <color theme="1"/>
        <rFont val="Book Antiqua"/>
        <family val="1"/>
      </rPr>
      <t xml:space="preserve"> diese sind beim physischen Produkt bereits enthalten ("enthalten")
</t>
    </r>
    <r>
      <rPr>
        <b/>
        <sz val="10"/>
        <color rgb="FFFF0000"/>
        <rFont val="Book Antiqua"/>
        <family val="1"/>
      </rPr>
      <t>ODER</t>
    </r>
    <r>
      <rPr>
        <b/>
        <sz val="10"/>
        <color theme="1"/>
        <rFont val="Book Antiqua"/>
        <family val="1"/>
      </rPr>
      <t xml:space="preserve"> du musst sie nach dem CF im F-Shop bzw. Ulisses-ebook-Shop erwerben ("Kauf nach CF")</t>
    </r>
  </si>
  <si>
    <t>Das sind die physischen Bestandteile des jeweiligen Pakets wert</t>
  </si>
  <si>
    <t>Das sind die digitalen Bestandteile des jeweiligen Pakets wert</t>
  </si>
  <si>
    <t>Das sind die physichen &amp; digitalen Bestandteile des jeweiligen Pakets wert</t>
  </si>
  <si>
    <t>Physische Produkte</t>
  </si>
  <si>
    <t>Digitale Produkte</t>
  </si>
  <si>
    <t>Alle Produkte</t>
  </si>
  <si>
    <t>Anteil Unterstützer je Dankeschön</t>
  </si>
  <si>
    <r>
      <t xml:space="preserve">(made with </t>
    </r>
    <r>
      <rPr>
        <b/>
        <sz val="10"/>
        <color rgb="FFC00000"/>
        <rFont val="Book Antiqua"/>
        <family val="1"/>
      </rPr>
      <t>Auge</t>
    </r>
    <r>
      <rPr>
        <b/>
        <sz val="10"/>
        <color theme="1"/>
        <rFont val="Book Antiqua"/>
        <family val="1"/>
      </rPr>
      <t xml:space="preserve"> by Hinter dem Schwarzen Auge!)</t>
    </r>
  </si>
  <si>
    <t>Bereits erhältliche Produkte</t>
  </si>
  <si>
    <t>im Kompendium enthalten</t>
  </si>
  <si>
    <t>s.o.</t>
  </si>
  <si>
    <t>Die Gunst der Göttin</t>
  </si>
  <si>
    <t>RE (€/kum)</t>
  </si>
  <si>
    <t>RE (B)</t>
  </si>
  <si>
    <t>RE (B/kum)</t>
  </si>
  <si>
    <t>DGG (€)</t>
  </si>
  <si>
    <t>DGG (€/kum)</t>
  </si>
  <si>
    <t>DGG (B)</t>
  </si>
  <si>
    <t>DGG (B/kum)</t>
  </si>
  <si>
    <t>MP RE (€)</t>
  </si>
  <si>
    <t>MP RE (B)</t>
  </si>
  <si>
    <t>DGG (Backer)</t>
  </si>
  <si>
    <t>Schnitt Tag 1-3</t>
  </si>
  <si>
    <t>Prognose min</t>
  </si>
  <si>
    <t>Prognose max</t>
  </si>
  <si>
    <t>Hochrechnung (könnte passen, oder auch nicht ;) )</t>
  </si>
  <si>
    <t>Gunst der Göttin</t>
  </si>
  <si>
    <t>DSV (€)</t>
  </si>
  <si>
    <t>DSV (Backer)</t>
  </si>
  <si>
    <t>MP DGG (€)</t>
  </si>
  <si>
    <t>MP DGG (B)</t>
  </si>
  <si>
    <t>Finanziert</t>
  </si>
  <si>
    <t>Was wächst denn da?</t>
  </si>
  <si>
    <t>Was kannst du so?</t>
  </si>
  <si>
    <t>Und das hilft?</t>
  </si>
  <si>
    <t>Das brauche ich…</t>
  </si>
  <si>
    <t>Was passiert hier so?</t>
  </si>
  <si>
    <t>Was passiert hier so²?</t>
  </si>
  <si>
    <t>Geht das auch persönlicher?</t>
  </si>
  <si>
    <t>Was ist mit uns?</t>
  </si>
  <si>
    <t>Ist das gefährlich?</t>
  </si>
  <si>
    <t>Sie kommen im Winter…</t>
  </si>
  <si>
    <t>Es will mich umbringen!</t>
  </si>
  <si>
    <t>Dumme Langbeiner</t>
  </si>
  <si>
    <t>Wer sind die denn?</t>
  </si>
  <si>
    <t>Und das schwimmt?</t>
  </si>
  <si>
    <t>Kennst du die?</t>
  </si>
  <si>
    <t>Nahrungskette? Nie gehört!</t>
  </si>
  <si>
    <t>Alles auf einen Blick</t>
  </si>
  <si>
    <t>Da hinunter?</t>
  </si>
  <si>
    <t>Ihr habt es so gewollt</t>
  </si>
  <si>
    <t>Kleine Katze</t>
  </si>
  <si>
    <t>Rotfuchs</t>
  </si>
  <si>
    <t>Feen-hörnchen</t>
  </si>
  <si>
    <t>Dachs</t>
  </si>
  <si>
    <t>Ulmen-marder</t>
  </si>
  <si>
    <t>Otter</t>
  </si>
  <si>
    <t>Hardcover + PDF (192 Seiten)</t>
  </si>
  <si>
    <t>Bestiarium - Schleichender Verfall</t>
  </si>
  <si>
    <t>Softcover + PDF (48 Seiten)</t>
  </si>
  <si>
    <t>Einsteigerbox</t>
  </si>
  <si>
    <t>Hardcover + PDF (160 Seiten, A6)</t>
  </si>
  <si>
    <t>CD + mp3 (?? Tracks)</t>
  </si>
  <si>
    <t>Stoffkarte Donnerbach</t>
  </si>
  <si>
    <t>Stoffkarte Salamandersteine</t>
  </si>
  <si>
    <t>Stoffkarte</t>
  </si>
  <si>
    <t>Schleichender Verfall-Sammelbox</t>
  </si>
  <si>
    <t>Kompendium</t>
  </si>
  <si>
    <t>AB Tauchfahrt</t>
  </si>
  <si>
    <t>Einleger Universalschirm</t>
  </si>
  <si>
    <t>4 Archetypen</t>
  </si>
  <si>
    <t>Langbeiner</t>
  </si>
  <si>
    <t>Spielkarten Wilde Hatz</t>
  </si>
  <si>
    <t>Spielkarten Gegner</t>
  </si>
  <si>
    <t>Heldenbögen Dachs, Feenhörnchen, Murmeltier</t>
  </si>
  <si>
    <t>Heldenbögen Otter, Fuchs, Luchs, Marder</t>
  </si>
  <si>
    <t>Abenteuerideen Donnerbach</t>
  </si>
  <si>
    <t>Abenteuerideen Salamandersteine</t>
  </si>
  <si>
    <t>SH Tränke, Salben &amp; Tinkturen</t>
  </si>
  <si>
    <t>SH Wilde Hatz</t>
  </si>
  <si>
    <t>Spielkarten Vor-/Nachteile, SF, Gaben</t>
  </si>
  <si>
    <t>SH Kleine Kräuterkunde</t>
  </si>
  <si>
    <t>SH Boote, Kähne, Nachen</t>
  </si>
  <si>
    <t>SH Jagd &amp; Kampf</t>
  </si>
  <si>
    <r>
      <t xml:space="preserve">Portrait deines Charakters/Haustiers </t>
    </r>
    <r>
      <rPr>
        <b/>
        <sz val="10"/>
        <color rgb="FF00B050"/>
        <rFont val="Book Antiqua"/>
        <family val="1"/>
      </rPr>
      <t>(exklusiv im Crowdfunding!)</t>
    </r>
  </si>
  <si>
    <t>nicht erhältlich</t>
  </si>
  <si>
    <t>PDF (192 Seiten)</t>
  </si>
  <si>
    <t>PDF (48 Seiten)</t>
  </si>
  <si>
    <t>PDF (160 Seiten, A6)</t>
  </si>
  <si>
    <t>mp3 (?? Tracks)</t>
  </si>
  <si>
    <t>Digital-Bundle</t>
  </si>
  <si>
    <t>PDF (?? Seiten)</t>
  </si>
  <si>
    <t>PDF (?? Karten)</t>
  </si>
  <si>
    <t>Katzendokumente</t>
  </si>
  <si>
    <t>Bestiarium</t>
  </si>
  <si>
    <t>Samtpfoten</t>
  </si>
  <si>
    <t>Notizbuch der Wanderkatze</t>
  </si>
  <si>
    <t>Bestiarium - Fasar</t>
  </si>
  <si>
    <t>Jenseits der Mauern</t>
  </si>
  <si>
    <t>Jenseits der Türme</t>
  </si>
  <si>
    <t>Meisterschirm &amp; Kompendium</t>
  </si>
  <si>
    <t>Meisterschirmset Brüchiger Frieden</t>
  </si>
  <si>
    <t>Die Schwarze Katze - Regelwerk</t>
  </si>
  <si>
    <t>Fasar - Brüchiger Frieden</t>
  </si>
  <si>
    <t>Mondglöckchen</t>
  </si>
  <si>
    <t>Würfelset 2 (Grün und Violett)</t>
  </si>
  <si>
    <t>Katzenmusik</t>
  </si>
  <si>
    <t>Kampf &amp; Abenteuer Spielkartenset</t>
  </si>
  <si>
    <t>Klänge von Fasar</t>
  </si>
  <si>
    <t>Fasar Stoffkarte</t>
  </si>
  <si>
    <t>Kara Federglanz - DSK Plüschi</t>
  </si>
  <si>
    <t>Die Schwarze Katze - Rucksack</t>
  </si>
  <si>
    <t>Crowdfunding Pack - Die Schwarze Katze</t>
  </si>
  <si>
    <r>
      <t xml:space="preserve">Das sparst Du </t>
    </r>
    <r>
      <rPr>
        <b/>
        <sz val="10"/>
        <color rgb="FF00B050"/>
        <rFont val="Book Antiqua"/>
        <family val="1"/>
      </rPr>
      <t>(grüne Zahl)</t>
    </r>
    <r>
      <rPr>
        <b/>
        <sz val="10"/>
        <color theme="1"/>
        <rFont val="Book Antiqua"/>
        <family val="1"/>
      </rPr>
      <t xml:space="preserve">, wenn du stattdessen das Dankeschön "Kleine Katze" wählst (bei </t>
    </r>
    <r>
      <rPr>
        <b/>
        <sz val="10"/>
        <color rgb="FFFF0000"/>
        <rFont val="Book Antiqua"/>
        <family val="1"/>
      </rPr>
      <t>roter Zahl</t>
    </r>
    <r>
      <rPr>
        <b/>
        <sz val="10"/>
        <color theme="1"/>
        <rFont val="Book Antiqua"/>
        <family val="1"/>
      </rPr>
      <t xml:space="preserve"> zahlst du mehr!)</t>
    </r>
  </si>
  <si>
    <r>
      <t xml:space="preserve">Das sparst Du </t>
    </r>
    <r>
      <rPr>
        <b/>
        <sz val="10"/>
        <color rgb="FF00B050"/>
        <rFont val="Book Antiqua"/>
        <family val="1"/>
      </rPr>
      <t>(grüne Zahl)</t>
    </r>
    <r>
      <rPr>
        <b/>
        <sz val="10"/>
        <color theme="1"/>
        <rFont val="Book Antiqua"/>
        <family val="1"/>
      </rPr>
      <t xml:space="preserve">, wenn du stattdessen das Dankeschön "Rotfuchs" wählst (bei </t>
    </r>
    <r>
      <rPr>
        <b/>
        <sz val="10"/>
        <color rgb="FFFF0000"/>
        <rFont val="Book Antiqua"/>
        <family val="1"/>
      </rPr>
      <t>roter Zahl</t>
    </r>
    <r>
      <rPr>
        <b/>
        <sz val="10"/>
        <color theme="1"/>
        <rFont val="Book Antiqua"/>
        <family val="1"/>
      </rPr>
      <t xml:space="preserve"> zahlst du mehr!)</t>
    </r>
  </si>
  <si>
    <r>
      <t xml:space="preserve">Das sparst Du </t>
    </r>
    <r>
      <rPr>
        <b/>
        <sz val="10"/>
        <color rgb="FF00B050"/>
        <rFont val="Book Antiqua"/>
        <family val="1"/>
      </rPr>
      <t>(grüne Zahl)</t>
    </r>
    <r>
      <rPr>
        <b/>
        <sz val="10"/>
        <color theme="1"/>
        <rFont val="Book Antiqua"/>
        <family val="1"/>
      </rPr>
      <t xml:space="preserve">, wenn du stattdessen das Dankeschön "Feenhörnchen" wählst (bei </t>
    </r>
    <r>
      <rPr>
        <b/>
        <sz val="10"/>
        <color rgb="FFFF0000"/>
        <rFont val="Book Antiqua"/>
        <family val="1"/>
      </rPr>
      <t>roter Zahl</t>
    </r>
    <r>
      <rPr>
        <b/>
        <sz val="10"/>
        <color theme="1"/>
        <rFont val="Book Antiqua"/>
        <family val="1"/>
      </rPr>
      <t xml:space="preserve"> zahlst du mehr!)</t>
    </r>
  </si>
  <si>
    <r>
      <t xml:space="preserve">Das sparst Du </t>
    </r>
    <r>
      <rPr>
        <b/>
        <sz val="10"/>
        <color rgb="FF00B050"/>
        <rFont val="Book Antiqua"/>
        <family val="1"/>
      </rPr>
      <t>(grüne Zahl)</t>
    </r>
    <r>
      <rPr>
        <b/>
        <sz val="10"/>
        <color theme="1"/>
        <rFont val="Book Antiqua"/>
        <family val="1"/>
      </rPr>
      <t xml:space="preserve">, wenn du stattdessen das Dankeschön "Dachs" wählst (bei </t>
    </r>
    <r>
      <rPr>
        <b/>
        <sz val="10"/>
        <color rgb="FFFF0000"/>
        <rFont val="Book Antiqua"/>
        <family val="1"/>
      </rPr>
      <t>roter Zahl</t>
    </r>
    <r>
      <rPr>
        <b/>
        <sz val="10"/>
        <color theme="1"/>
        <rFont val="Book Antiqua"/>
        <family val="1"/>
      </rPr>
      <t xml:space="preserve"> zahlst du mehr!)</t>
    </r>
  </si>
  <si>
    <r>
      <t xml:space="preserve">Das sparst Du </t>
    </r>
    <r>
      <rPr>
        <b/>
        <sz val="10"/>
        <color rgb="FF00B050"/>
        <rFont val="Book Antiqua"/>
        <family val="1"/>
      </rPr>
      <t>(grüne Zahl)</t>
    </r>
    <r>
      <rPr>
        <b/>
        <sz val="10"/>
        <color theme="1"/>
        <rFont val="Book Antiqua"/>
        <family val="1"/>
      </rPr>
      <t xml:space="preserve">, wenn du stattdessen das Dankeschön "Ulmenmarder" wählst (bei </t>
    </r>
    <r>
      <rPr>
        <b/>
        <sz val="10"/>
        <color rgb="FFFF0000"/>
        <rFont val="Book Antiqua"/>
        <family val="1"/>
      </rPr>
      <t>roter Zahl</t>
    </r>
    <r>
      <rPr>
        <b/>
        <sz val="10"/>
        <color theme="1"/>
        <rFont val="Book Antiqua"/>
        <family val="1"/>
      </rPr>
      <t xml:space="preserve"> zahlst du mehr!)</t>
    </r>
  </si>
  <si>
    <r>
      <t xml:space="preserve">Das sparst Du </t>
    </r>
    <r>
      <rPr>
        <b/>
        <sz val="10"/>
        <color rgb="FF00B050"/>
        <rFont val="Book Antiqua"/>
        <family val="1"/>
      </rPr>
      <t>(grüne Zahl)</t>
    </r>
    <r>
      <rPr>
        <b/>
        <sz val="10"/>
        <color theme="1"/>
        <rFont val="Book Antiqua"/>
        <family val="1"/>
      </rPr>
      <t xml:space="preserve">, wenn du stattdessen das Dankeschön "Otter" wählst (bei </t>
    </r>
    <r>
      <rPr>
        <b/>
        <sz val="10"/>
        <color rgb="FFFF0000"/>
        <rFont val="Book Antiqua"/>
        <family val="1"/>
      </rPr>
      <t>roter Zahl</t>
    </r>
    <r>
      <rPr>
        <b/>
        <sz val="10"/>
        <color theme="1"/>
        <rFont val="Book Antiqua"/>
        <family val="1"/>
      </rPr>
      <t xml:space="preserve"> zahlst du mehr!)</t>
    </r>
  </si>
  <si>
    <r>
      <t xml:space="preserve">Das sparst Du </t>
    </r>
    <r>
      <rPr>
        <b/>
        <sz val="10"/>
        <color rgb="FF00B050"/>
        <rFont val="Book Antiqua"/>
        <family val="1"/>
      </rPr>
      <t>(grüne Zahl)</t>
    </r>
    <r>
      <rPr>
        <b/>
        <sz val="10"/>
        <color theme="1"/>
        <rFont val="Book Antiqua"/>
        <family val="1"/>
      </rPr>
      <t xml:space="preserve">, wenn du stattdessen das Dankeschön "Murmeltier" wählst (bei </t>
    </r>
    <r>
      <rPr>
        <b/>
        <sz val="10"/>
        <color rgb="FFFF0000"/>
        <rFont val="Book Antiqua"/>
        <family val="1"/>
      </rPr>
      <t>roter Zahl</t>
    </r>
    <r>
      <rPr>
        <b/>
        <sz val="10"/>
        <color theme="1"/>
        <rFont val="Book Antiqua"/>
        <family val="1"/>
      </rPr>
      <t xml:space="preserve"> zahlst du mehr!)</t>
    </r>
  </si>
  <si>
    <t>Teil des Bundles - Nicht als Einzelprodukt erhältlich!</t>
  </si>
  <si>
    <r>
      <t xml:space="preserve">Das kostet </t>
    </r>
    <r>
      <rPr>
        <b/>
        <i/>
        <sz val="10"/>
        <color rgb="FFFF0000"/>
        <rFont val="Book Antiqua"/>
        <family val="1"/>
      </rPr>
      <t>dein Wunschpaket</t>
    </r>
    <r>
      <rPr>
        <b/>
        <i/>
        <sz val="10"/>
        <color theme="1"/>
        <rFont val="Book Antiqua"/>
        <family val="1"/>
      </rPr>
      <t>(nach dem Crowdfunding) (voraussichtlich) im F-Shop &amp; ulisses-ebook-Shop:</t>
    </r>
  </si>
  <si>
    <r>
      <t xml:space="preserve">Das kostet </t>
    </r>
    <r>
      <rPr>
        <b/>
        <i/>
        <sz val="10"/>
        <color rgb="FF0070C0"/>
        <rFont val="Book Antiqua"/>
        <family val="1"/>
      </rPr>
      <t>deine Kombination</t>
    </r>
    <r>
      <rPr>
        <b/>
        <i/>
        <sz val="10"/>
        <rFont val="Book Antiqua"/>
        <family val="1"/>
      </rPr>
      <t xml:space="preserve"> (nach dem Crowdfunding) im </t>
    </r>
    <r>
      <rPr>
        <b/>
        <i/>
        <sz val="10"/>
        <color theme="1"/>
        <rFont val="Book Antiqua"/>
        <family val="1"/>
      </rPr>
      <t>F-Shop &amp; ulisses-ebook-Shop (voraussichtlich) insgesamt:</t>
    </r>
  </si>
  <si>
    <t>https://www.gameontabletop.com/cf901/die-schwarze-katze-schleichender-verfall.html</t>
  </si>
  <si>
    <r>
      <t>* Spielkarten "Vor-/Nachteile, Sonderfertigkeiten &amp; Gaben"</t>
    </r>
    <r>
      <rPr>
        <b/>
        <i/>
        <sz val="10"/>
        <color theme="1"/>
        <rFont val="Book Antiqua"/>
        <family val="1"/>
      </rPr>
      <t xml:space="preserve"> (2. Ziel)</t>
    </r>
  </si>
  <si>
    <t>im Digital-Bundle enthalten</t>
  </si>
  <si>
    <r>
      <t>* Spielhilfe "Tränke, Salben &amp; Tinkturen"</t>
    </r>
    <r>
      <rPr>
        <b/>
        <i/>
        <sz val="10"/>
        <color theme="1"/>
        <rFont val="Book Antiqua"/>
        <family val="1"/>
      </rPr>
      <t xml:space="preserve"> (3. Ziel)</t>
    </r>
  </si>
  <si>
    <t>Spielkarten Streichelfakten &amp; Akâmandra</t>
  </si>
  <si>
    <r>
      <t>* Spielkarten "Streichelfakten &amp; Akâmandra"</t>
    </r>
    <r>
      <rPr>
        <b/>
        <i/>
        <sz val="10"/>
        <color theme="1"/>
        <rFont val="Book Antiqua"/>
        <family val="1"/>
      </rPr>
      <t xml:space="preserve"> (4. Ziel)</t>
    </r>
  </si>
  <si>
    <t>- Bestiarium-Spielkartenset Schleichender Verfall</t>
  </si>
  <si>
    <r>
      <t>* Abenteuerideen Salamandersteine</t>
    </r>
    <r>
      <rPr>
        <b/>
        <i/>
        <sz val="10"/>
        <color theme="1"/>
        <rFont val="Book Antiqua"/>
        <family val="1"/>
      </rPr>
      <t xml:space="preserve"> (5. Ziel)</t>
    </r>
  </si>
  <si>
    <r>
      <t>* Abenteuerideen Donnerbach</t>
    </r>
    <r>
      <rPr>
        <b/>
        <i/>
        <sz val="10"/>
        <color theme="1"/>
        <rFont val="Book Antiqua"/>
        <family val="1"/>
      </rPr>
      <t xml:space="preserve"> (6. Ziel)</t>
    </r>
  </si>
  <si>
    <t>DSK Fasar</t>
  </si>
  <si>
    <t>Die Schwarze Katze-"Schleichender Verfall"-Crowdfunding-Guide          von          Hinter dem Schwarzen Auge</t>
  </si>
  <si>
    <t>Nachrichten, Podcast, Discord, Twitch, YouTube</t>
  </si>
  <si>
    <t>Zum Crowdfunding kommst du hier:</t>
  </si>
  <si>
    <t xml:space="preserve">© 2022 Bild by Ulisses Spiele GmbH               </t>
  </si>
  <si>
    <r>
      <t xml:space="preserve">Donnerbach - Schleichender Verfall (Donnerbach und die Salamandersteine) </t>
    </r>
    <r>
      <rPr>
        <sz val="8"/>
        <color theme="1"/>
        <rFont val="Book Antiqua"/>
        <family val="1"/>
      </rPr>
      <t>(Quellenband)</t>
    </r>
  </si>
  <si>
    <r>
      <t>Donnerbach - Schleichender Verfall (Donnerbach und die Salamandersteine) (limitiert)</t>
    </r>
    <r>
      <rPr>
        <sz val="8"/>
        <color theme="1"/>
        <rFont val="Book Antiqua"/>
        <family val="1"/>
      </rPr>
      <t xml:space="preserve"> (Quellenband)</t>
    </r>
  </si>
  <si>
    <r>
      <t>Aphasmas Boten</t>
    </r>
    <r>
      <rPr>
        <sz val="8"/>
        <color theme="1"/>
        <rFont val="Book Antiqua"/>
        <family val="1"/>
      </rPr>
      <t xml:space="preserve"> (Abenteuer-Anthologie)</t>
    </r>
  </si>
  <si>
    <r>
      <t xml:space="preserve">Jenseits des Wasserfalls </t>
    </r>
    <r>
      <rPr>
        <sz val="8"/>
        <color theme="1"/>
        <rFont val="Book Antiqua"/>
        <family val="1"/>
      </rPr>
      <t>(Quellenband)</t>
    </r>
  </si>
  <si>
    <r>
      <t xml:space="preserve">Spurlos verschwunden - Donnerbach </t>
    </r>
    <r>
      <rPr>
        <sz val="8"/>
        <color theme="1"/>
        <rFont val="Book Antiqua"/>
        <family val="1"/>
      </rPr>
      <t>(Heldenbrevier)</t>
    </r>
  </si>
  <si>
    <r>
      <t xml:space="preserve">Klänge von Donnerbach </t>
    </r>
    <r>
      <rPr>
        <sz val="8"/>
        <color theme="1"/>
        <rFont val="Book Antiqua"/>
        <family val="1"/>
      </rPr>
      <t>(Soundtrack)</t>
    </r>
  </si>
  <si>
    <r>
      <t xml:space="preserve">Nachtgeheul </t>
    </r>
    <r>
      <rPr>
        <sz val="8"/>
        <color theme="1"/>
        <rFont val="Book Antiqua"/>
        <family val="1"/>
      </rPr>
      <t>(3. überarb. Auflage)</t>
    </r>
  </si>
  <si>
    <r>
      <t xml:space="preserve">Hundstage </t>
    </r>
    <r>
      <rPr>
        <sz val="8"/>
        <color theme="1"/>
        <rFont val="Book Antiqua"/>
        <family val="1"/>
      </rPr>
      <t>(Abenteueranthologie Fasar)</t>
    </r>
  </si>
  <si>
    <r>
      <t>Flötenspiel</t>
    </r>
    <r>
      <rPr>
        <sz val="8"/>
        <color theme="1"/>
        <rFont val="Book Antiqua"/>
        <family val="1"/>
      </rPr>
      <t xml:space="preserve"> (Abenteueranthologie Havena)</t>
    </r>
  </si>
  <si>
    <r>
      <t xml:space="preserve">Spuren im Sand - Fasar </t>
    </r>
    <r>
      <rPr>
        <sz val="8"/>
        <color theme="1"/>
        <rFont val="Book Antiqua"/>
        <family val="1"/>
      </rPr>
      <t>(Heldenbrevier)</t>
    </r>
  </si>
  <si>
    <r>
      <t>Die Drachen von Wolldorf</t>
    </r>
    <r>
      <rPr>
        <sz val="8"/>
        <color theme="1"/>
        <rFont val="Book Antiqua"/>
        <family val="1"/>
      </rPr>
      <t xml:space="preserve"> (DSK-Einsteigerbox)</t>
    </r>
  </si>
  <si>
    <t>Papierbögen</t>
  </si>
  <si>
    <t>Softcover</t>
  </si>
  <si>
    <t>Hardcover</t>
  </si>
  <si>
    <t>Metallglöckchen</t>
  </si>
  <si>
    <t>20 Acryl-Pokerchips</t>
  </si>
  <si>
    <t>Schicksalspunkte</t>
  </si>
  <si>
    <t>je 2 W6 und W20</t>
  </si>
  <si>
    <t>CD</t>
  </si>
  <si>
    <t>Spielkartenset</t>
  </si>
  <si>
    <t>Plüschtier</t>
  </si>
  <si>
    <t>Rucksack (sehr groß)</t>
  </si>
  <si>
    <t>- Spielhilfen Schleichender Verfall</t>
  </si>
  <si>
    <t>max. 8 erhältlich; 1 übrig</t>
  </si>
  <si>
    <r>
      <t xml:space="preserve">Bereits erhältliche Produkte (max. 50 Stück); </t>
    </r>
    <r>
      <rPr>
        <b/>
        <sz val="10"/>
        <color rgb="FF00B050"/>
        <rFont val="Book Antiqua"/>
        <family val="1"/>
      </rPr>
      <t>RABATT!</t>
    </r>
  </si>
  <si>
    <t>Formeln anpassen bei 2 Tagen (Summe = 100%)</t>
  </si>
  <si>
    <t>Min/max Tag 1-3</t>
  </si>
  <si>
    <t>Kalkulation DSK (Fasar als Richtlinie Mittelwert)</t>
  </si>
  <si>
    <r>
      <t xml:space="preserve">- Heldenbögen Otter, Fuchs, Luchs, Marder </t>
    </r>
    <r>
      <rPr>
        <b/>
        <sz val="10"/>
        <color theme="1"/>
        <rFont val="Book Antiqua"/>
        <family val="1"/>
      </rPr>
      <t>(7. Ziel)</t>
    </r>
  </si>
  <si>
    <r>
      <t xml:space="preserve">Murmeltier
</t>
    </r>
    <r>
      <rPr>
        <b/>
        <sz val="10"/>
        <color rgb="FFFF0000"/>
        <rFont val="Book Antiqua"/>
        <family val="1"/>
      </rPr>
      <t>(ausverkauft)</t>
    </r>
  </si>
  <si>
    <r>
      <t>- Heldenbögen Dachs, Feenhörnchen, Murmeltier</t>
    </r>
    <r>
      <rPr>
        <b/>
        <sz val="10"/>
        <color theme="1"/>
        <rFont val="Book Antiqua"/>
        <family val="1"/>
      </rPr>
      <t xml:space="preserve"> (8. Ziel)</t>
    </r>
  </si>
  <si>
    <t>Unterstützen kannst Du uns hier:</t>
  </si>
  <si>
    <t>https://hinter-dem-schwarzen-auge.de/support</t>
  </si>
  <si>
    <r>
      <t>* Spielkarten "Gegner"</t>
    </r>
    <r>
      <rPr>
        <b/>
        <i/>
        <sz val="10"/>
        <color theme="1"/>
        <rFont val="Book Antiqua"/>
        <family val="1"/>
      </rPr>
      <t xml:space="preserve"> (9. Ziel)</t>
    </r>
  </si>
  <si>
    <t>UVP-Preise alle unter Vorbehalt! (Ableitung von Preis im CF &amp; existierenden Produkten)</t>
  </si>
  <si>
    <r>
      <t>* Spielkarten "Wilde Hatz"</t>
    </r>
    <r>
      <rPr>
        <b/>
        <i/>
        <sz val="10"/>
        <color theme="1"/>
        <rFont val="Book Antiqua"/>
        <family val="1"/>
      </rPr>
      <t xml:space="preserve"> (11. Ziel)</t>
    </r>
  </si>
  <si>
    <r>
      <t>* Spielhilfe "Kleine Kräuterkunde der Salamandersteine"</t>
    </r>
    <r>
      <rPr>
        <b/>
        <i/>
        <sz val="10"/>
        <color theme="1"/>
        <rFont val="Book Antiqua"/>
        <family val="1"/>
      </rPr>
      <t xml:space="preserve"> (1. Ziel)</t>
    </r>
  </si>
  <si>
    <r>
      <t>* Spielhilfe "Die Wilde Hatz"</t>
    </r>
    <r>
      <rPr>
        <b/>
        <i/>
        <sz val="10"/>
        <color theme="1"/>
        <rFont val="Book Antiqua"/>
        <family val="1"/>
      </rPr>
      <t xml:space="preserve"> (10. Ziel)</t>
    </r>
  </si>
  <si>
    <r>
      <t>* Spielhilfe "Zweibeinige NSCs"</t>
    </r>
    <r>
      <rPr>
        <b/>
        <i/>
        <sz val="10"/>
        <color theme="1"/>
        <rFont val="Book Antiqua"/>
        <family val="1"/>
      </rPr>
      <t xml:space="preserve"> (12. Ziel)</t>
    </r>
  </si>
  <si>
    <r>
      <t>* Spielhilfe "Boote der Erwachten"</t>
    </r>
    <r>
      <rPr>
        <b/>
        <i/>
        <sz val="10"/>
        <color theme="1"/>
        <rFont val="Book Antiqua"/>
        <family val="1"/>
      </rPr>
      <t xml:space="preserve"> (14. Ziel)</t>
    </r>
  </si>
  <si>
    <r>
      <t>* Spielhilfe "Vom Jagen und Kämpfen"</t>
    </r>
    <r>
      <rPr>
        <b/>
        <i/>
        <sz val="10"/>
        <color theme="1"/>
        <rFont val="Book Antiqua"/>
        <family val="1"/>
      </rPr>
      <t xml:space="preserve"> (16. Ziel)</t>
    </r>
  </si>
  <si>
    <r>
      <t>- 8 Archetypen</t>
    </r>
    <r>
      <rPr>
        <b/>
        <sz val="10"/>
        <color theme="1"/>
        <rFont val="Book Antiqua"/>
        <family val="1"/>
      </rPr>
      <t xml:space="preserve"> (13. + 15. Ziel)</t>
    </r>
  </si>
  <si>
    <t>ausverkauft!</t>
  </si>
  <si>
    <t>https://hinter-dem-schwarzen-auge.de/links</t>
  </si>
  <si>
    <r>
      <t>- Einleger Universalschirm Schleichender Verfall</t>
    </r>
    <r>
      <rPr>
        <b/>
        <sz val="10"/>
        <color theme="1"/>
        <rFont val="Book Antiqua"/>
        <family val="1"/>
      </rPr>
      <t xml:space="preserve"> (19. Ziel)</t>
    </r>
  </si>
  <si>
    <r>
      <t>* Abenteuer "Tauchfahrt"</t>
    </r>
    <r>
      <rPr>
        <b/>
        <i/>
        <sz val="10"/>
        <color theme="1"/>
        <rFont val="Book Antiqua"/>
        <family val="1"/>
      </rPr>
      <t xml:space="preserve"> (18. Ziel)</t>
    </r>
  </si>
  <si>
    <t>Teil des Kompendiums - Nicht als Einzelprodukt erhältlich!</t>
  </si>
  <si>
    <r>
      <t xml:space="preserve">Kompendium Donnerbach </t>
    </r>
    <r>
      <rPr>
        <i/>
        <sz val="10"/>
        <rFont val="Book Antiqua"/>
        <family val="1"/>
      </rPr>
      <t>(</t>
    </r>
    <r>
      <rPr>
        <b/>
        <i/>
        <sz val="10"/>
        <rFont val="Book Antiqua"/>
        <family val="1"/>
      </rPr>
      <t>17. Ziel)</t>
    </r>
  </si>
  <si>
    <t>Softcover + PDF (32 Seiten)</t>
  </si>
  <si>
    <t>PDF (32 Seiten)</t>
  </si>
  <si>
    <t>Alle Ziele erreicht!</t>
  </si>
  <si>
    <t>Bitte setze hier deine "x"
für deine</t>
  </si>
  <si>
    <t>Finaler Stand</t>
  </si>
  <si>
    <t>18:00</t>
  </si>
  <si>
    <t>Alle Links zum Projekt findest du hier: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</si>
</sst>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\ &quot;€&quot;"/>
    <numFmt numFmtId="165" formatCode="#,##0.00\ &quot;€&quot;"/>
    <numFmt numFmtId="166" formatCode="[$£-809]#,##0"/>
    <numFmt numFmtId="167" formatCode="0.0%"/>
    <numFmt numFmtId="168" formatCode="dddd"/>
    <numFmt numFmtId="169" formatCode="h:mm;@"/>
    <numFmt numFmtId="170" formatCode="[h]:mm"/>
    <numFmt numFmtId="171" formatCode="0&quot;. Tag&quot;"/>
    <numFmt numFmtId="172" formatCode="dd/mm/yy"/>
    <numFmt numFmtId="173" formatCode="dd/mm/yy\,\ hh:mm"/>
    <numFmt numFmtId="174" formatCode="0&quot;/8&quot;"/>
  </numFmts>
  <fonts count="7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Book Antiqua"/>
      <family val="1"/>
    </font>
    <font>
      <b/>
      <i/>
      <sz val="10"/>
      <color rgb="FFFF0000"/>
      <name val="Book Antiqua"/>
      <family val="1"/>
    </font>
    <font>
      <i/>
      <sz val="10"/>
      <color theme="1"/>
      <name val="Book Antiqua"/>
      <family val="1"/>
    </font>
    <font>
      <b/>
      <i/>
      <sz val="10"/>
      <name val="Book Antiqua"/>
      <family val="1"/>
    </font>
    <font>
      <b/>
      <i/>
      <sz val="10"/>
      <color theme="1"/>
      <name val="Book Antiqua"/>
      <family val="1"/>
    </font>
    <font>
      <b/>
      <i/>
      <sz val="10"/>
      <color rgb="FF0070C0"/>
      <name val="Book Antiqua"/>
      <family val="1"/>
    </font>
    <font>
      <sz val="10"/>
      <color rgb="FFFF0000"/>
      <name val="Book Antiqua"/>
      <family val="1"/>
    </font>
    <font>
      <u/>
      <sz val="11"/>
      <color theme="10"/>
      <name val="Calibri"/>
      <family val="2"/>
      <scheme val="minor"/>
    </font>
    <font>
      <sz val="10"/>
      <color theme="1"/>
      <name val="Book Antiqua"/>
      <family val="1"/>
    </font>
    <font>
      <b/>
      <sz val="10"/>
      <color rgb="FFFF0000"/>
      <name val="Book Antiqua"/>
      <family val="1"/>
    </font>
    <font>
      <b/>
      <sz val="12"/>
      <color theme="1"/>
      <name val="Book Antiqua"/>
      <family val="1"/>
    </font>
    <font>
      <i/>
      <sz val="11"/>
      <color rgb="FFFF0000"/>
      <name val="Calibri"/>
      <family val="2"/>
      <scheme val="minor"/>
    </font>
    <font>
      <b/>
      <sz val="12"/>
      <name val="Book Antiqua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Book Antiqua"/>
      <family val="1"/>
    </font>
    <font>
      <b/>
      <sz val="12"/>
      <color rgb="FFFF0000"/>
      <name val="Book Antiqua"/>
      <family val="1"/>
    </font>
    <font>
      <b/>
      <sz val="10"/>
      <color rgb="FF00B050"/>
      <name val="Book Antiqua"/>
      <family val="1"/>
    </font>
    <font>
      <i/>
      <sz val="10"/>
      <color rgb="FFFF0000"/>
      <name val="Book Antiqua"/>
      <family val="1"/>
    </font>
    <font>
      <b/>
      <sz val="10"/>
      <color theme="1"/>
      <name val="Book Antiqua"/>
      <family val="1"/>
    </font>
    <font>
      <b/>
      <sz val="10"/>
      <color rgb="FFC00000"/>
      <name val="Book Antiqua"/>
      <family val="1"/>
    </font>
    <font>
      <sz val="10"/>
      <color rgb="FF00B050"/>
      <name val="Book Antiqua"/>
      <family val="1"/>
    </font>
    <font>
      <strike/>
      <sz val="10"/>
      <color rgb="FFFF0000"/>
      <name val="Book Antiqua"/>
      <family val="1"/>
    </font>
    <font>
      <sz val="10"/>
      <name val="Book Antiqua"/>
      <family val="1"/>
    </font>
    <font>
      <strike/>
      <sz val="10"/>
      <color theme="1"/>
      <name val="Book Antiqua"/>
      <family val="1"/>
    </font>
    <font>
      <strike/>
      <sz val="10"/>
      <color rgb="FF00B050"/>
      <name val="Book Antiqua"/>
      <family val="1"/>
    </font>
    <font>
      <i/>
      <sz val="10"/>
      <color rgb="FF00B050"/>
      <name val="Book Antiqua"/>
      <family val="1"/>
    </font>
    <font>
      <i/>
      <strike/>
      <sz val="10"/>
      <color theme="1"/>
      <name val="Book Antiqua"/>
      <family val="1"/>
    </font>
    <font>
      <b/>
      <sz val="10"/>
      <color rgb="FF0070C0"/>
      <name val="Book Antiqua"/>
      <family val="1"/>
    </font>
    <font>
      <i/>
      <strike/>
      <sz val="10"/>
      <color rgb="FFFF0000"/>
      <name val="Book Antiqua"/>
      <family val="1"/>
    </font>
    <font>
      <i/>
      <sz val="10"/>
      <name val="Book Antiqua"/>
      <family val="1"/>
    </font>
    <font>
      <b/>
      <u/>
      <sz val="14"/>
      <color theme="10"/>
      <name val="Wingdings"/>
      <charset val="2"/>
    </font>
    <font>
      <sz val="14"/>
      <color theme="1"/>
      <name val="Wingdings"/>
      <charset val="2"/>
    </font>
    <font>
      <i/>
      <sz val="14"/>
      <color theme="1"/>
      <name val="Wingdings"/>
      <charset val="2"/>
    </font>
    <font>
      <b/>
      <sz val="14"/>
      <color theme="1"/>
      <name val="Wingdings"/>
      <charset val="2"/>
    </font>
    <font>
      <b/>
      <sz val="14"/>
      <color rgb="FFFF0000"/>
      <name val="Wingdings"/>
      <charset val="2"/>
    </font>
    <font>
      <sz val="14"/>
      <color rgb="FFFF0000"/>
      <name val="Wingdings"/>
      <charset val="2"/>
    </font>
    <font>
      <sz val="14"/>
      <name val="Wingdings"/>
      <charset val="2"/>
    </font>
    <font>
      <sz val="13"/>
      <color rgb="FFFF0000"/>
      <name val="Book Antiqua"/>
      <family val="1"/>
    </font>
    <font>
      <i/>
      <sz val="13"/>
      <color rgb="FFFF0000"/>
      <name val="Book Antiqua"/>
      <family val="1"/>
    </font>
    <font>
      <b/>
      <sz val="10"/>
      <color rgb="FF7030A0"/>
      <name val="Book Antiqua"/>
      <family val="1"/>
    </font>
    <font>
      <b/>
      <sz val="10"/>
      <color theme="7" tint="-0.249977111117893"/>
      <name val="Book Antiqua"/>
      <family val="1"/>
    </font>
    <font>
      <b/>
      <sz val="9"/>
      <color rgb="FF00B050"/>
      <name val="Book Antiqua"/>
      <family val="1"/>
    </font>
    <font>
      <b/>
      <sz val="9"/>
      <name val="Book Antiqua"/>
      <family val="1"/>
    </font>
    <font>
      <b/>
      <sz val="14"/>
      <color rgb="FFFF0000"/>
      <name val="Book Antiqua"/>
      <family val="1"/>
    </font>
    <font>
      <b/>
      <sz val="10"/>
      <color theme="5"/>
      <name val="Book Antiqua"/>
      <family val="1"/>
    </font>
    <font>
      <sz val="8"/>
      <color theme="0"/>
      <name val="Book Antiqua"/>
      <family val="1"/>
    </font>
    <font>
      <b/>
      <sz val="14"/>
      <color theme="1"/>
      <name val="Book Antiqua"/>
      <family val="1"/>
    </font>
    <font>
      <b/>
      <u/>
      <sz val="14"/>
      <color theme="1"/>
      <name val="Book Antiqua"/>
      <family val="1"/>
    </font>
    <font>
      <sz val="8"/>
      <name val="Book Antiqua"/>
      <family val="1"/>
    </font>
    <font>
      <b/>
      <sz val="10"/>
      <color rgb="FFFD23ED"/>
      <name val="Book Antiqua"/>
      <family val="1"/>
    </font>
    <font>
      <i/>
      <strike/>
      <sz val="10"/>
      <color theme="9" tint="0.79998168889431442"/>
      <name val="Book Antiqua"/>
      <family val="1"/>
    </font>
    <font>
      <b/>
      <sz val="10"/>
      <color theme="9"/>
      <name val="Book Antiqua"/>
      <family val="1"/>
    </font>
    <font>
      <sz val="10"/>
      <color theme="9"/>
      <name val="Book Antiqua"/>
      <family val="1"/>
    </font>
    <font>
      <i/>
      <sz val="8"/>
      <name val="Book Antiqua"/>
      <family val="1"/>
    </font>
    <font>
      <b/>
      <sz val="10"/>
      <color theme="5" tint="-0.499984740745262"/>
      <name val="Book Antiqua"/>
      <family val="1"/>
    </font>
    <font>
      <b/>
      <sz val="16"/>
      <color theme="1"/>
      <name val="Book Antiqua"/>
      <family val="1"/>
    </font>
    <font>
      <b/>
      <u/>
      <sz val="14"/>
      <color theme="10"/>
      <name val="Book Antiqua"/>
      <family val="1"/>
    </font>
    <font>
      <b/>
      <sz val="9"/>
      <color theme="1"/>
      <name val="Book Antiqua"/>
      <family val="1"/>
    </font>
    <font>
      <b/>
      <sz val="45"/>
      <color rgb="FFFF0000"/>
      <name val="Book Antiqua"/>
      <family val="1"/>
    </font>
    <font>
      <b/>
      <sz val="12"/>
      <color rgb="FF00B050"/>
      <name val="Book Antiqua"/>
      <family val="1"/>
    </font>
    <font>
      <sz val="8"/>
      <color theme="1"/>
      <name val="Book Antiqua"/>
      <family val="1"/>
    </font>
    <font>
      <sz val="14"/>
      <color rgb="FF00B050"/>
      <name val="Wingdings"/>
      <charset val="2"/>
    </font>
    <font>
      <b/>
      <sz val="11"/>
      <color rgb="FF00B050"/>
      <name val="Calibri"/>
      <family val="2"/>
      <scheme val="minor"/>
    </font>
    <font>
      <b/>
      <i/>
      <sz val="10"/>
      <color rgb="FF00B050"/>
      <name val="Book Antiqua"/>
      <family val="1"/>
    </font>
    <font>
      <b/>
      <u/>
      <sz val="12.5"/>
      <color theme="10"/>
      <name val="Book Antiqua"/>
      <family val="1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 style="medium">
        <color rgb="FFFF0000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482">
    <xf numFmtId="0" fontId="0" fillId="0" borderId="0" xfId="0"/>
    <xf numFmtId="0" fontId="10" fillId="3" borderId="0" xfId="0" applyFont="1" applyFill="1"/>
    <xf numFmtId="0" fontId="15" fillId="3" borderId="0" xfId="0" applyFont="1" applyFill="1"/>
    <xf numFmtId="3" fontId="1" fillId="0" borderId="0" xfId="0" applyNumberFormat="1" applyFont="1"/>
    <xf numFmtId="3" fontId="6" fillId="0" borderId="0" xfId="0" applyNumberFormat="1" applyFont="1"/>
    <xf numFmtId="2" fontId="1" fillId="0" borderId="0" xfId="0" applyNumberFormat="1" applyFont="1"/>
    <xf numFmtId="0" fontId="6" fillId="0" borderId="0" xfId="0" applyFont="1"/>
    <xf numFmtId="3" fontId="0" fillId="0" borderId="0" xfId="0" applyNumberFormat="1"/>
    <xf numFmtId="2" fontId="6" fillId="0" borderId="0" xfId="0" applyNumberFormat="1" applyFont="1"/>
    <xf numFmtId="167" fontId="0" fillId="0" borderId="0" xfId="0" applyNumberFormat="1"/>
    <xf numFmtId="3" fontId="1" fillId="6" borderId="0" xfId="0" applyNumberFormat="1" applyFont="1" applyFill="1"/>
    <xf numFmtId="3" fontId="6" fillId="6" borderId="0" xfId="0" applyNumberFormat="1" applyFont="1" applyFill="1"/>
    <xf numFmtId="3" fontId="23" fillId="0" borderId="0" xfId="0" applyNumberFormat="1" applyFont="1"/>
    <xf numFmtId="3" fontId="3" fillId="0" borderId="0" xfId="0" applyNumberFormat="1" applyFont="1"/>
    <xf numFmtId="167" fontId="4" fillId="0" borderId="0" xfId="0" applyNumberFormat="1" applyFont="1"/>
    <xf numFmtId="167" fontId="22" fillId="0" borderId="0" xfId="0" applyNumberFormat="1" applyFont="1"/>
    <xf numFmtId="0" fontId="4" fillId="0" borderId="0" xfId="0" applyFont="1"/>
    <xf numFmtId="3" fontId="23" fillId="6" borderId="0" xfId="0" applyNumberFormat="1" applyFont="1" applyFill="1"/>
    <xf numFmtId="3" fontId="3" fillId="6" borderId="0" xfId="0" applyNumberFormat="1" applyFont="1" applyFill="1"/>
    <xf numFmtId="2" fontId="3" fillId="0" borderId="0" xfId="0" applyNumberFormat="1" applyFont="1"/>
    <xf numFmtId="2" fontId="23" fillId="0" borderId="0" xfId="0" applyNumberFormat="1" applyFont="1"/>
    <xf numFmtId="0" fontId="1" fillId="0" borderId="0" xfId="0" applyFont="1"/>
    <xf numFmtId="0" fontId="23" fillId="0" borderId="0" xfId="0" applyFont="1"/>
    <xf numFmtId="2" fontId="4" fillId="0" borderId="0" xfId="0" applyNumberFormat="1" applyFont="1"/>
    <xf numFmtId="2" fontId="0" fillId="0" borderId="0" xfId="0" applyNumberFormat="1"/>
    <xf numFmtId="2" fontId="1" fillId="0" borderId="34" xfId="0" applyNumberFormat="1" applyFont="1" applyBorder="1"/>
    <xf numFmtId="0" fontId="6" fillId="0" borderId="35" xfId="0" applyFont="1" applyBorder="1"/>
    <xf numFmtId="2" fontId="1" fillId="0" borderId="36" xfId="0" applyNumberFormat="1" applyFont="1" applyBorder="1"/>
    <xf numFmtId="2" fontId="6" fillId="0" borderId="37" xfId="0" applyNumberFormat="1" applyFont="1" applyBorder="1"/>
    <xf numFmtId="2" fontId="1" fillId="0" borderId="38" xfId="0" applyNumberFormat="1" applyFont="1" applyBorder="1"/>
    <xf numFmtId="2" fontId="6" fillId="0" borderId="39" xfId="0" applyNumberFormat="1" applyFont="1" applyBorder="1"/>
    <xf numFmtId="0" fontId="6" fillId="0" borderId="40" xfId="0" applyFont="1" applyBorder="1"/>
    <xf numFmtId="2" fontId="1" fillId="0" borderId="40" xfId="0" applyNumberFormat="1" applyFont="1" applyBorder="1"/>
    <xf numFmtId="2" fontId="6" fillId="0" borderId="41" xfId="0" applyNumberFormat="1" applyFont="1" applyBorder="1"/>
    <xf numFmtId="2" fontId="1" fillId="0" borderId="41" xfId="0" applyNumberFormat="1" applyFont="1" applyBorder="1"/>
    <xf numFmtId="4" fontId="1" fillId="0" borderId="0" xfId="0" applyNumberFormat="1" applyFont="1"/>
    <xf numFmtId="4" fontId="0" fillId="0" borderId="0" xfId="0" applyNumberFormat="1"/>
    <xf numFmtId="10" fontId="10" fillId="7" borderId="0" xfId="0" applyNumberFormat="1" applyFont="1" applyFill="1"/>
    <xf numFmtId="0" fontId="10" fillId="7" borderId="0" xfId="0" applyFont="1" applyFill="1"/>
    <xf numFmtId="0" fontId="24" fillId="7" borderId="0" xfId="0" applyFont="1" applyFill="1"/>
    <xf numFmtId="4" fontId="10" fillId="7" borderId="0" xfId="0" applyNumberFormat="1" applyFont="1" applyFill="1"/>
    <xf numFmtId="0" fontId="10" fillId="7" borderId="0" xfId="0" applyFont="1" applyFill="1" applyAlignment="1">
      <alignment horizontal="center"/>
    </xf>
    <xf numFmtId="165" fontId="10" fillId="7" borderId="0" xfId="0" applyNumberFormat="1" applyFont="1" applyFill="1"/>
    <xf numFmtId="0" fontId="15" fillId="7" borderId="0" xfId="0" applyFont="1" applyFill="1"/>
    <xf numFmtId="0" fontId="9" fillId="7" borderId="0" xfId="0" applyFont="1" applyFill="1"/>
    <xf numFmtId="4" fontId="15" fillId="7" borderId="0" xfId="0" applyNumberFormat="1" applyFont="1" applyFill="1"/>
    <xf numFmtId="2" fontId="2" fillId="0" borderId="0" xfId="0" applyNumberFormat="1" applyFont="1"/>
    <xf numFmtId="2" fontId="23" fillId="0" borderId="37" xfId="0" applyNumberFormat="1" applyFont="1" applyBorder="1"/>
    <xf numFmtId="2" fontId="3" fillId="0" borderId="40" xfId="0" applyNumberFormat="1" applyFont="1" applyBorder="1"/>
    <xf numFmtId="0" fontId="23" fillId="0" borderId="40" xfId="0" applyFont="1" applyBorder="1"/>
    <xf numFmtId="2" fontId="3" fillId="0" borderId="41" xfId="0" applyNumberFormat="1" applyFont="1" applyBorder="1"/>
    <xf numFmtId="2" fontId="23" fillId="0" borderId="41" xfId="0" applyNumberFormat="1" applyFont="1" applyBorder="1"/>
    <xf numFmtId="2" fontId="2" fillId="0" borderId="40" xfId="0" applyNumberFormat="1" applyFont="1" applyBorder="1"/>
    <xf numFmtId="0" fontId="18" fillId="0" borderId="40" xfId="0" applyFont="1" applyBorder="1"/>
    <xf numFmtId="2" fontId="18" fillId="0" borderId="0" xfId="0" applyNumberFormat="1" applyFont="1"/>
    <xf numFmtId="2" fontId="2" fillId="0" borderId="41" xfId="0" applyNumberFormat="1" applyFont="1" applyBorder="1"/>
    <xf numFmtId="2" fontId="18" fillId="0" borderId="41" xfId="0" applyNumberFormat="1" applyFont="1" applyBorder="1"/>
    <xf numFmtId="0" fontId="8" fillId="7" borderId="0" xfId="0" applyFont="1" applyFill="1"/>
    <xf numFmtId="0" fontId="8" fillId="7" borderId="0" xfId="0" applyFont="1" applyFill="1" applyAlignment="1">
      <alignment horizontal="center"/>
    </xf>
    <xf numFmtId="0" fontId="13" fillId="7" borderId="0" xfId="0" applyFont="1" applyFill="1"/>
    <xf numFmtId="3" fontId="0" fillId="0" borderId="46" xfId="0" applyNumberFormat="1" applyBorder="1"/>
    <xf numFmtId="4" fontId="15" fillId="7" borderId="0" xfId="0" applyNumberFormat="1" applyFont="1" applyFill="1" applyAlignment="1">
      <alignment horizontal="center"/>
    </xf>
    <xf numFmtId="0" fontId="26" fillId="7" borderId="0" xfId="0" applyFont="1" applyFill="1" applyAlignment="1">
      <alignment horizontal="center"/>
    </xf>
    <xf numFmtId="0" fontId="27" fillId="7" borderId="0" xfId="0" applyFont="1" applyFill="1"/>
    <xf numFmtId="0" fontId="28" fillId="7" borderId="0" xfId="0" applyFont="1" applyFill="1" applyAlignment="1">
      <alignment horizontal="center" vertical="center"/>
    </xf>
    <xf numFmtId="3" fontId="26" fillId="7" borderId="28" xfId="0" applyNumberFormat="1" applyFont="1" applyFill="1" applyBorder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3" fontId="30" fillId="7" borderId="5" xfId="0" applyNumberFormat="1" applyFont="1" applyFill="1" applyBorder="1" applyAlignment="1">
      <alignment vertical="center"/>
    </xf>
    <xf numFmtId="3" fontId="26" fillId="7" borderId="11" xfId="0" applyNumberFormat="1" applyFont="1" applyFill="1" applyBorder="1" applyAlignment="1">
      <alignment horizontal="center" vertical="center"/>
    </xf>
    <xf numFmtId="0" fontId="15" fillId="7" borderId="0" xfId="0" applyFont="1" applyFill="1" applyAlignment="1">
      <alignment horizontal="center"/>
    </xf>
    <xf numFmtId="0" fontId="15" fillId="7" borderId="0" xfId="0" applyFont="1" applyFill="1" applyAlignment="1">
      <alignment vertical="center"/>
    </xf>
    <xf numFmtId="2" fontId="26" fillId="7" borderId="0" xfId="0" applyNumberFormat="1" applyFont="1" applyFill="1" applyAlignment="1">
      <alignment horizontal="center" vertical="center"/>
    </xf>
    <xf numFmtId="3" fontId="15" fillId="7" borderId="0" xfId="0" applyNumberFormat="1" applyFont="1" applyFill="1"/>
    <xf numFmtId="3" fontId="26" fillId="7" borderId="1" xfId="0" quotePrefix="1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14" fontId="26" fillId="7" borderId="1" xfId="0" applyNumberFormat="1" applyFont="1" applyFill="1" applyBorder="1" applyAlignment="1">
      <alignment horizontal="center" vertical="center"/>
    </xf>
    <xf numFmtId="171" fontId="26" fillId="7" borderId="1" xfId="0" applyNumberFormat="1" applyFont="1" applyFill="1" applyBorder="1" applyAlignment="1">
      <alignment horizontal="center" vertical="center"/>
    </xf>
    <xf numFmtId="0" fontId="9" fillId="7" borderId="0" xfId="0" applyFont="1" applyFill="1" applyAlignment="1">
      <alignment vertical="center"/>
    </xf>
    <xf numFmtId="3" fontId="15" fillId="7" borderId="0" xfId="0" applyNumberFormat="1" applyFont="1" applyFill="1" applyAlignment="1">
      <alignment vertical="center"/>
    </xf>
    <xf numFmtId="167" fontId="15" fillId="7" borderId="0" xfId="0" applyNumberFormat="1" applyFont="1" applyFill="1" applyAlignment="1">
      <alignment vertical="center"/>
    </xf>
    <xf numFmtId="4" fontId="15" fillId="7" borderId="0" xfId="0" applyNumberFormat="1" applyFont="1" applyFill="1" applyAlignment="1">
      <alignment vertical="center"/>
    </xf>
    <xf numFmtId="0" fontId="28" fillId="7" borderId="0" xfId="0" applyFont="1" applyFill="1" applyAlignment="1">
      <alignment horizontal="center"/>
    </xf>
    <xf numFmtId="3" fontId="32" fillId="7" borderId="5" xfId="0" applyNumberFormat="1" applyFont="1" applyFill="1" applyBorder="1" applyAlignment="1">
      <alignment vertical="center"/>
    </xf>
    <xf numFmtId="167" fontId="15" fillId="7" borderId="0" xfId="0" applyNumberFormat="1" applyFont="1" applyFill="1"/>
    <xf numFmtId="0" fontId="15" fillId="3" borderId="0" xfId="0" applyFont="1" applyFill="1" applyAlignment="1">
      <alignment horizontal="center" vertical="center"/>
    </xf>
    <xf numFmtId="3" fontId="28" fillId="7" borderId="0" xfId="0" applyNumberFormat="1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4" fontId="15" fillId="7" borderId="0" xfId="0" applyNumberFormat="1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26" fillId="7" borderId="0" xfId="0" applyFont="1" applyFill="1" applyAlignment="1">
      <alignment horizontal="right" vertical="center"/>
    </xf>
    <xf numFmtId="0" fontId="33" fillId="7" borderId="0" xfId="0" applyFont="1" applyFill="1" applyAlignment="1">
      <alignment vertical="center"/>
    </xf>
    <xf numFmtId="3" fontId="13" fillId="7" borderId="0" xfId="0" applyNumberFormat="1" applyFont="1" applyFill="1" applyAlignment="1">
      <alignment horizontal="center" vertical="center"/>
    </xf>
    <xf numFmtId="0" fontId="34" fillId="7" borderId="0" xfId="0" applyFont="1" applyFill="1" applyAlignment="1">
      <alignment vertical="center"/>
    </xf>
    <xf numFmtId="0" fontId="30" fillId="7" borderId="0" xfId="0" applyFont="1" applyFill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165" fontId="13" fillId="0" borderId="7" xfId="0" quotePrefix="1" applyNumberFormat="1" applyFont="1" applyBorder="1" applyAlignment="1">
      <alignment horizontal="right" vertical="center"/>
    </xf>
    <xf numFmtId="165" fontId="15" fillId="0" borderId="7" xfId="0" applyNumberFormat="1" applyFont="1" applyBorder="1" applyAlignment="1">
      <alignment horizontal="right" vertical="center"/>
    </xf>
    <xf numFmtId="165" fontId="15" fillId="0" borderId="7" xfId="0" applyNumberFormat="1" applyFont="1" applyBorder="1" applyAlignment="1">
      <alignment horizontal="left" vertical="center"/>
    </xf>
    <xf numFmtId="4" fontId="33" fillId="7" borderId="0" xfId="0" applyNumberFormat="1" applyFont="1" applyFill="1" applyAlignment="1">
      <alignment vertical="center"/>
    </xf>
    <xf numFmtId="0" fontId="33" fillId="0" borderId="0" xfId="0" applyFont="1" applyAlignment="1">
      <alignment vertical="center"/>
    </xf>
    <xf numFmtId="165" fontId="15" fillId="0" borderId="7" xfId="0" quotePrefix="1" applyNumberFormat="1" applyFont="1" applyBorder="1" applyAlignment="1">
      <alignment horizontal="right" vertical="center"/>
    </xf>
    <xf numFmtId="165" fontId="15" fillId="0" borderId="7" xfId="0" quotePrefix="1" applyNumberFormat="1" applyFont="1" applyBorder="1" applyAlignment="1">
      <alignment horizontal="left" vertical="center"/>
    </xf>
    <xf numFmtId="165" fontId="15" fillId="7" borderId="0" xfId="0" applyNumberFormat="1" applyFont="1" applyFill="1" applyAlignment="1">
      <alignment vertical="center"/>
    </xf>
    <xf numFmtId="0" fontId="15" fillId="0" borderId="0" xfId="0" applyFont="1"/>
    <xf numFmtId="0" fontId="13" fillId="7" borderId="0" xfId="0" applyFont="1" applyFill="1" applyAlignment="1">
      <alignment vertical="center"/>
    </xf>
    <xf numFmtId="0" fontId="13" fillId="7" borderId="0" xfId="0" applyFont="1" applyFill="1" applyAlignment="1">
      <alignment horizontal="center" vertical="center"/>
    </xf>
    <xf numFmtId="165" fontId="27" fillId="0" borderId="7" xfId="0" quotePrefix="1" applyNumberFormat="1" applyFont="1" applyBorder="1" applyAlignment="1">
      <alignment horizontal="right" vertical="center"/>
    </xf>
    <xf numFmtId="0" fontId="31" fillId="7" borderId="0" xfId="0" applyFont="1" applyFill="1" applyAlignment="1">
      <alignment vertical="center"/>
    </xf>
    <xf numFmtId="0" fontId="36" fillId="7" borderId="0" xfId="0" applyFont="1" applyFill="1" applyAlignment="1">
      <alignment vertical="center"/>
    </xf>
    <xf numFmtId="0" fontId="9" fillId="0" borderId="5" xfId="0" applyFont="1" applyBorder="1" applyAlignment="1">
      <alignment horizontal="left" vertical="center"/>
    </xf>
    <xf numFmtId="165" fontId="9" fillId="0" borderId="7" xfId="0" quotePrefix="1" applyNumberFormat="1" applyFont="1" applyBorder="1" applyAlignment="1">
      <alignment horizontal="right" vertical="center"/>
    </xf>
    <xf numFmtId="165" fontId="9" fillId="0" borderId="7" xfId="0" quotePrefix="1" applyNumberFormat="1" applyFont="1" applyBorder="1" applyAlignment="1">
      <alignment horizontal="left" vertical="center"/>
    </xf>
    <xf numFmtId="165" fontId="9" fillId="7" borderId="0" xfId="0" applyNumberFormat="1" applyFont="1" applyFill="1" applyAlignment="1">
      <alignment vertical="center"/>
    </xf>
    <xf numFmtId="4" fontId="9" fillId="7" borderId="0" xfId="0" applyNumberFormat="1" applyFont="1" applyFill="1"/>
    <xf numFmtId="0" fontId="9" fillId="0" borderId="0" xfId="0" applyFont="1"/>
    <xf numFmtId="10" fontId="9" fillId="7" borderId="0" xfId="0" applyNumberFormat="1" applyFont="1" applyFill="1"/>
    <xf numFmtId="0" fontId="38" fillId="7" borderId="0" xfId="0" applyFont="1" applyFill="1" applyAlignment="1">
      <alignment vertical="center"/>
    </xf>
    <xf numFmtId="0" fontId="24" fillId="7" borderId="5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4" fontId="24" fillId="7" borderId="5" xfId="0" applyNumberFormat="1" applyFont="1" applyFill="1" applyBorder="1" applyAlignment="1">
      <alignment horizontal="center"/>
    </xf>
    <xf numFmtId="0" fontId="24" fillId="3" borderId="0" xfId="0" applyFont="1" applyFill="1" applyAlignment="1">
      <alignment horizontal="center"/>
    </xf>
    <xf numFmtId="0" fontId="24" fillId="7" borderId="0" xfId="0" applyFont="1" applyFill="1" applyAlignment="1">
      <alignment horizontal="center"/>
    </xf>
    <xf numFmtId="0" fontId="30" fillId="7" borderId="0" xfId="0" applyFont="1" applyFill="1" applyAlignment="1">
      <alignment horizontal="right" vertical="center"/>
    </xf>
    <xf numFmtId="168" fontId="30" fillId="7" borderId="0" xfId="0" applyNumberFormat="1" applyFont="1" applyFill="1" applyAlignment="1">
      <alignment horizontal="right" vertical="center"/>
    </xf>
    <xf numFmtId="172" fontId="30" fillId="7" borderId="0" xfId="0" applyNumberFormat="1" applyFont="1" applyFill="1" applyAlignment="1">
      <alignment horizontal="center" vertical="center"/>
    </xf>
    <xf numFmtId="20" fontId="30" fillId="7" borderId="0" xfId="0" applyNumberFormat="1" applyFont="1" applyFill="1" applyAlignment="1">
      <alignment horizontal="center" vertical="center"/>
    </xf>
    <xf numFmtId="169" fontId="30" fillId="7" borderId="0" xfId="0" applyNumberFormat="1" applyFont="1" applyFill="1" applyAlignment="1">
      <alignment vertical="center"/>
    </xf>
    <xf numFmtId="170" fontId="30" fillId="7" borderId="0" xfId="0" applyNumberFormat="1" applyFont="1" applyFill="1" applyAlignment="1">
      <alignment vertical="center"/>
    </xf>
    <xf numFmtId="164" fontId="30" fillId="7" borderId="5" xfId="0" applyNumberFormat="1" applyFont="1" applyFill="1" applyBorder="1" applyAlignment="1">
      <alignment vertical="center"/>
    </xf>
    <xf numFmtId="1" fontId="30" fillId="7" borderId="5" xfId="0" applyNumberFormat="1" applyFont="1" applyFill="1" applyBorder="1" applyAlignment="1">
      <alignment vertical="center"/>
    </xf>
    <xf numFmtId="164" fontId="30" fillId="7" borderId="0" xfId="0" applyNumberFormat="1" applyFont="1" applyFill="1" applyAlignment="1">
      <alignment vertical="center"/>
    </xf>
    <xf numFmtId="165" fontId="35" fillId="7" borderId="0" xfId="0" applyNumberFormat="1" applyFont="1" applyFill="1" applyAlignment="1">
      <alignment vertical="center"/>
    </xf>
    <xf numFmtId="165" fontId="30" fillId="7" borderId="0" xfId="0" applyNumberFormat="1" applyFont="1" applyFill="1" applyAlignment="1">
      <alignment vertical="center"/>
    </xf>
    <xf numFmtId="164" fontId="13" fillId="7" borderId="0" xfId="0" applyNumberFormat="1" applyFont="1" applyFill="1" applyAlignment="1">
      <alignment vertical="center"/>
    </xf>
    <xf numFmtId="167" fontId="30" fillId="7" borderId="0" xfId="0" applyNumberFormat="1" applyFont="1" applyFill="1" applyAlignment="1">
      <alignment vertical="center"/>
    </xf>
    <xf numFmtId="167" fontId="35" fillId="7" borderId="0" xfId="0" applyNumberFormat="1" applyFont="1" applyFill="1" applyAlignment="1">
      <alignment vertical="center"/>
    </xf>
    <xf numFmtId="4" fontId="30" fillId="7" borderId="0" xfId="0" applyNumberFormat="1" applyFont="1" applyFill="1" applyAlignment="1">
      <alignment vertical="center"/>
    </xf>
    <xf numFmtId="167" fontId="9" fillId="7" borderId="0" xfId="0" applyNumberFormat="1" applyFont="1" applyFill="1" applyAlignment="1">
      <alignment vertical="center"/>
    </xf>
    <xf numFmtId="0" fontId="30" fillId="3" borderId="0" xfId="0" applyFont="1" applyFill="1"/>
    <xf numFmtId="164" fontId="26" fillId="7" borderId="5" xfId="0" applyNumberFormat="1" applyFont="1" applyFill="1" applyBorder="1" applyAlignment="1">
      <alignment vertical="center"/>
    </xf>
    <xf numFmtId="3" fontId="26" fillId="7" borderId="5" xfId="0" applyNumberFormat="1" applyFont="1" applyFill="1" applyBorder="1" applyAlignment="1">
      <alignment vertical="center"/>
    </xf>
    <xf numFmtId="1" fontId="26" fillId="7" borderId="5" xfId="0" applyNumberFormat="1" applyFont="1" applyFill="1" applyBorder="1" applyAlignment="1">
      <alignment vertical="center"/>
    </xf>
    <xf numFmtId="1" fontId="30" fillId="7" borderId="0" xfId="0" applyNumberFormat="1" applyFont="1" applyFill="1" applyAlignment="1">
      <alignment vertical="center"/>
    </xf>
    <xf numFmtId="3" fontId="30" fillId="7" borderId="0" xfId="0" applyNumberFormat="1" applyFont="1" applyFill="1" applyAlignment="1">
      <alignment vertical="center"/>
    </xf>
    <xf numFmtId="0" fontId="30" fillId="7" borderId="0" xfId="0" applyFont="1" applyFill="1" applyAlignment="1">
      <alignment horizontal="center" vertical="center"/>
    </xf>
    <xf numFmtId="0" fontId="24" fillId="7" borderId="0" xfId="0" applyFont="1" applyFill="1" applyAlignment="1">
      <alignment horizontal="right" vertical="center"/>
    </xf>
    <xf numFmtId="0" fontId="32" fillId="7" borderId="0" xfId="0" applyFont="1" applyFill="1" applyAlignment="1">
      <alignment horizontal="center" vertical="center"/>
    </xf>
    <xf numFmtId="168" fontId="32" fillId="7" borderId="0" xfId="0" applyNumberFormat="1" applyFont="1" applyFill="1" applyAlignment="1">
      <alignment vertical="center"/>
    </xf>
    <xf numFmtId="172" fontId="32" fillId="7" borderId="0" xfId="0" applyNumberFormat="1" applyFont="1" applyFill="1" applyAlignment="1">
      <alignment horizontal="center" vertical="center"/>
    </xf>
    <xf numFmtId="20" fontId="32" fillId="7" borderId="0" xfId="0" applyNumberFormat="1" applyFont="1" applyFill="1" applyAlignment="1">
      <alignment horizontal="center" vertical="center"/>
    </xf>
    <xf numFmtId="169" fontId="32" fillId="7" borderId="0" xfId="0" applyNumberFormat="1" applyFont="1" applyFill="1" applyAlignment="1">
      <alignment vertical="center"/>
    </xf>
    <xf numFmtId="170" fontId="32" fillId="7" borderId="0" xfId="0" applyNumberFormat="1" applyFont="1" applyFill="1" applyAlignment="1">
      <alignment vertical="center"/>
    </xf>
    <xf numFmtId="165" fontId="39" fillId="7" borderId="0" xfId="0" applyNumberFormat="1" applyFont="1" applyFill="1" applyAlignment="1">
      <alignment vertical="center"/>
    </xf>
    <xf numFmtId="165" fontId="32" fillId="7" borderId="0" xfId="0" applyNumberFormat="1" applyFont="1" applyFill="1" applyAlignment="1">
      <alignment vertical="center"/>
    </xf>
    <xf numFmtId="164" fontId="32" fillId="7" borderId="0" xfId="0" applyNumberFormat="1" applyFont="1" applyFill="1" applyAlignment="1">
      <alignment vertical="center"/>
    </xf>
    <xf numFmtId="3" fontId="32" fillId="7" borderId="0" xfId="0" applyNumberFormat="1" applyFont="1" applyFill="1" applyAlignment="1">
      <alignment vertical="center"/>
    </xf>
    <xf numFmtId="167" fontId="32" fillId="7" borderId="0" xfId="0" applyNumberFormat="1" applyFont="1" applyFill="1" applyAlignment="1">
      <alignment vertical="center"/>
    </xf>
    <xf numFmtId="167" fontId="39" fillId="7" borderId="0" xfId="0" applyNumberFormat="1" applyFont="1" applyFill="1" applyAlignment="1">
      <alignment vertical="center"/>
    </xf>
    <xf numFmtId="4" fontId="32" fillId="7" borderId="0" xfId="0" applyNumberFormat="1" applyFont="1" applyFill="1" applyAlignment="1">
      <alignment vertical="center"/>
    </xf>
    <xf numFmtId="0" fontId="32" fillId="3" borderId="0" xfId="0" applyFont="1" applyFill="1"/>
    <xf numFmtId="0" fontId="32" fillId="7" borderId="0" xfId="0" applyFont="1" applyFill="1"/>
    <xf numFmtId="0" fontId="24" fillId="7" borderId="0" xfId="0" applyFont="1" applyFill="1" applyAlignment="1">
      <alignment horizontal="center" vertical="center"/>
    </xf>
    <xf numFmtId="164" fontId="24" fillId="7" borderId="0" xfId="0" applyNumberFormat="1" applyFont="1" applyFill="1" applyAlignment="1">
      <alignment vertical="center"/>
    </xf>
    <xf numFmtId="165" fontId="32" fillId="7" borderId="5" xfId="0" applyNumberFormat="1" applyFont="1" applyFill="1" applyBorder="1" applyAlignment="1">
      <alignment vertical="center"/>
    </xf>
    <xf numFmtId="3" fontId="24" fillId="7" borderId="0" xfId="0" applyNumberFormat="1" applyFont="1" applyFill="1" applyAlignment="1">
      <alignment horizontal="center" vertical="center"/>
    </xf>
    <xf numFmtId="167" fontId="24" fillId="7" borderId="5" xfId="0" applyNumberFormat="1" applyFont="1" applyFill="1" applyBorder="1" applyAlignment="1">
      <alignment horizontal="right"/>
    </xf>
    <xf numFmtId="167" fontId="10" fillId="7" borderId="5" xfId="0" applyNumberFormat="1" applyFont="1" applyFill="1" applyBorder="1" applyAlignment="1">
      <alignment horizontal="right"/>
    </xf>
    <xf numFmtId="0" fontId="10" fillId="7" borderId="5" xfId="0" applyFont="1" applyFill="1" applyBorder="1" applyAlignment="1">
      <alignment horizontal="right"/>
    </xf>
    <xf numFmtId="4" fontId="24" fillId="7" borderId="5" xfId="0" applyNumberFormat="1" applyFont="1" applyFill="1" applyBorder="1" applyAlignment="1">
      <alignment horizontal="right"/>
    </xf>
    <xf numFmtId="0" fontId="32" fillId="7" borderId="0" xfId="0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3" fontId="24" fillId="7" borderId="5" xfId="0" applyNumberFormat="1" applyFont="1" applyFill="1" applyBorder="1" applyAlignment="1">
      <alignment vertical="center"/>
    </xf>
    <xf numFmtId="3" fontId="24" fillId="7" borderId="0" xfId="0" applyNumberFormat="1" applyFont="1" applyFill="1" applyAlignment="1">
      <alignment vertical="center"/>
    </xf>
    <xf numFmtId="167" fontId="32" fillId="7" borderId="0" xfId="0" applyNumberFormat="1" applyFont="1" applyFill="1"/>
    <xf numFmtId="167" fontId="13" fillId="7" borderId="0" xfId="0" applyNumberFormat="1" applyFont="1" applyFill="1"/>
    <xf numFmtId="167" fontId="30" fillId="7" borderId="0" xfId="0" applyNumberFormat="1" applyFont="1" applyFill="1"/>
    <xf numFmtId="3" fontId="1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5" fontId="16" fillId="0" borderId="0" xfId="0" applyNumberFormat="1" applyFont="1" applyAlignment="1">
      <alignment horizontal="right"/>
    </xf>
    <xf numFmtId="165" fontId="15" fillId="0" borderId="0" xfId="0" applyNumberFormat="1" applyFont="1" applyAlignment="1">
      <alignment horizontal="right"/>
    </xf>
    <xf numFmtId="0" fontId="15" fillId="4" borderId="0" xfId="0" applyFont="1" applyFill="1"/>
    <xf numFmtId="165" fontId="15" fillId="7" borderId="0" xfId="0" applyNumberFormat="1" applyFont="1" applyFill="1"/>
    <xf numFmtId="165" fontId="13" fillId="7" borderId="0" xfId="0" applyNumberFormat="1" applyFont="1" applyFill="1"/>
    <xf numFmtId="0" fontId="40" fillId="7" borderId="0" xfId="1" applyFont="1" applyFill="1" applyAlignment="1">
      <alignment horizontal="center"/>
    </xf>
    <xf numFmtId="0" fontId="41" fillId="7" borderId="5" xfId="0" applyFont="1" applyFill="1" applyBorder="1" applyAlignment="1">
      <alignment horizontal="center" vertical="center"/>
    </xf>
    <xf numFmtId="0" fontId="41" fillId="7" borderId="5" xfId="0" applyFont="1" applyFill="1" applyBorder="1" applyAlignment="1">
      <alignment horizontal="center" vertical="center" wrapText="1"/>
    </xf>
    <xf numFmtId="0" fontId="42" fillId="7" borderId="5" xfId="0" applyFont="1" applyFill="1" applyBorder="1" applyAlignment="1">
      <alignment horizontal="center" vertical="center"/>
    </xf>
    <xf numFmtId="0" fontId="43" fillId="7" borderId="5" xfId="0" applyFont="1" applyFill="1" applyBorder="1" applyAlignment="1">
      <alignment horizontal="center" vertical="center"/>
    </xf>
    <xf numFmtId="0" fontId="41" fillId="7" borderId="15" xfId="0" applyFont="1" applyFill="1" applyBorder="1" applyAlignment="1">
      <alignment horizontal="center" vertical="center"/>
    </xf>
    <xf numFmtId="0" fontId="41" fillId="7" borderId="0" xfId="0" applyFont="1" applyFill="1"/>
    <xf numFmtId="164" fontId="41" fillId="7" borderId="0" xfId="0" applyNumberFormat="1" applyFont="1" applyFill="1"/>
    <xf numFmtId="164" fontId="44" fillId="7" borderId="0" xfId="0" applyNumberFormat="1" applyFont="1" applyFill="1"/>
    <xf numFmtId="164" fontId="45" fillId="7" borderId="0" xfId="0" applyNumberFormat="1" applyFont="1" applyFill="1"/>
    <xf numFmtId="164" fontId="46" fillId="7" borderId="0" xfId="0" applyNumberFormat="1" applyFont="1" applyFill="1"/>
    <xf numFmtId="0" fontId="46" fillId="7" borderId="0" xfId="0" applyFont="1" applyFill="1"/>
    <xf numFmtId="0" fontId="41" fillId="0" borderId="4" xfId="0" applyFont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3" fontId="32" fillId="7" borderId="49" xfId="0" applyNumberFormat="1" applyFont="1" applyFill="1" applyBorder="1" applyAlignment="1">
      <alignment vertical="center"/>
    </xf>
    <xf numFmtId="4" fontId="32" fillId="7" borderId="49" xfId="0" applyNumberFormat="1" applyFont="1" applyFill="1" applyBorder="1" applyAlignment="1">
      <alignment vertical="center"/>
    </xf>
    <xf numFmtId="0" fontId="24" fillId="2" borderId="48" xfId="0" applyFont="1" applyFill="1" applyBorder="1" applyAlignment="1">
      <alignment horizontal="center" vertical="center"/>
    </xf>
    <xf numFmtId="3" fontId="24" fillId="7" borderId="5" xfId="0" applyNumberFormat="1" applyFont="1" applyFill="1" applyBorder="1"/>
    <xf numFmtId="0" fontId="15" fillId="10" borderId="0" xfId="0" applyFont="1" applyFill="1"/>
    <xf numFmtId="4" fontId="19" fillId="10" borderId="0" xfId="0" applyNumberFormat="1" applyFont="1" applyFill="1" applyAlignment="1">
      <alignment horizontal="center" vertical="center" wrapText="1"/>
    </xf>
    <xf numFmtId="4" fontId="19" fillId="10" borderId="0" xfId="0" applyNumberFormat="1" applyFont="1" applyFill="1" applyAlignment="1">
      <alignment horizontal="center" vertical="center"/>
    </xf>
    <xf numFmtId="4" fontId="16" fillId="10" borderId="0" xfId="0" quotePrefix="1" applyNumberFormat="1" applyFont="1" applyFill="1" applyAlignment="1">
      <alignment horizontal="center" vertical="center" wrapText="1"/>
    </xf>
    <xf numFmtId="165" fontId="25" fillId="10" borderId="31" xfId="0" applyNumberFormat="1" applyFont="1" applyFill="1" applyBorder="1" applyAlignment="1">
      <alignment horizontal="center" vertical="center" wrapText="1"/>
    </xf>
    <xf numFmtId="165" fontId="25" fillId="10" borderId="33" xfId="0" applyNumberFormat="1" applyFont="1" applyFill="1" applyBorder="1" applyAlignment="1">
      <alignment horizontal="center" vertical="center" wrapText="1"/>
    </xf>
    <xf numFmtId="0" fontId="15" fillId="10" borderId="0" xfId="0" applyFont="1" applyFill="1" applyAlignment="1">
      <alignment vertical="center"/>
    </xf>
    <xf numFmtId="0" fontId="8" fillId="10" borderId="0" xfId="0" applyFont="1" applyFill="1" applyAlignment="1">
      <alignment horizontal="left" wrapText="1"/>
    </xf>
    <xf numFmtId="0" fontId="15" fillId="10" borderId="0" xfId="0" applyFont="1" applyFill="1" applyAlignment="1">
      <alignment horizontal="center" vertical="center"/>
    </xf>
    <xf numFmtId="0" fontId="33" fillId="10" borderId="0" xfId="0" applyFont="1" applyFill="1" applyAlignment="1">
      <alignment vertical="center"/>
    </xf>
    <xf numFmtId="0" fontId="9" fillId="10" borderId="0" xfId="0" applyFont="1" applyFill="1"/>
    <xf numFmtId="0" fontId="10" fillId="10" borderId="0" xfId="0" applyFont="1" applyFill="1"/>
    <xf numFmtId="3" fontId="13" fillId="10" borderId="0" xfId="0" applyNumberFormat="1" applyFont="1" applyFill="1" applyAlignment="1">
      <alignment horizontal="center"/>
    </xf>
    <xf numFmtId="3" fontId="24" fillId="10" borderId="0" xfId="0" applyNumberFormat="1" applyFont="1" applyFill="1" applyAlignment="1">
      <alignment horizontal="center"/>
    </xf>
    <xf numFmtId="14" fontId="30" fillId="10" borderId="0" xfId="0" applyNumberFormat="1" applyFont="1" applyFill="1" applyAlignment="1">
      <alignment horizontal="center"/>
    </xf>
    <xf numFmtId="14" fontId="32" fillId="10" borderId="0" xfId="0" applyNumberFormat="1" applyFont="1" applyFill="1" applyAlignment="1">
      <alignment horizontal="center"/>
    </xf>
    <xf numFmtId="0" fontId="32" fillId="10" borderId="0" xfId="0" applyFont="1" applyFill="1"/>
    <xf numFmtId="4" fontId="16" fillId="10" borderId="0" xfId="0" applyNumberFormat="1" applyFont="1" applyFill="1" applyAlignment="1">
      <alignment horizontal="center" vertical="center"/>
    </xf>
    <xf numFmtId="0" fontId="26" fillId="10" borderId="0" xfId="0" applyFont="1" applyFill="1" applyAlignment="1">
      <alignment horizontal="center"/>
    </xf>
    <xf numFmtId="165" fontId="16" fillId="10" borderId="0" xfId="0" applyNumberFormat="1" applyFont="1" applyFill="1" applyAlignment="1">
      <alignment horizontal="right"/>
    </xf>
    <xf numFmtId="165" fontId="15" fillId="10" borderId="0" xfId="0" applyNumberFormat="1" applyFont="1" applyFill="1" applyAlignment="1">
      <alignment horizontal="right"/>
    </xf>
    <xf numFmtId="0" fontId="24" fillId="10" borderId="0" xfId="0" applyFont="1" applyFill="1" applyAlignment="1">
      <alignment horizontal="center"/>
    </xf>
    <xf numFmtId="0" fontId="30" fillId="10" borderId="0" xfId="0" applyFont="1" applyFill="1"/>
    <xf numFmtId="165" fontId="28" fillId="10" borderId="0" xfId="0" applyNumberFormat="1" applyFont="1" applyFill="1" applyAlignment="1">
      <alignment horizontal="center" vertical="center" wrapText="1"/>
    </xf>
    <xf numFmtId="0" fontId="15" fillId="10" borderId="0" xfId="0" applyFont="1" applyFill="1" applyAlignment="1">
      <alignment horizontal="center"/>
    </xf>
    <xf numFmtId="164" fontId="15" fillId="10" borderId="0" xfId="0" applyNumberFormat="1" applyFont="1" applyFill="1" applyAlignment="1">
      <alignment horizontal="center"/>
    </xf>
    <xf numFmtId="165" fontId="15" fillId="10" borderId="0" xfId="0" applyNumberFormat="1" applyFont="1" applyFill="1" applyAlignment="1">
      <alignment horizontal="left"/>
    </xf>
    <xf numFmtId="3" fontId="16" fillId="10" borderId="0" xfId="0" applyNumberFormat="1" applyFont="1" applyFill="1" applyAlignment="1">
      <alignment horizontal="center" vertical="center"/>
    </xf>
    <xf numFmtId="164" fontId="28" fillId="10" borderId="0" xfId="0" applyNumberFormat="1" applyFont="1" applyFill="1" applyAlignment="1">
      <alignment vertical="center"/>
    </xf>
    <xf numFmtId="164" fontId="15" fillId="10" borderId="0" xfId="0" applyNumberFormat="1" applyFont="1" applyFill="1" applyAlignment="1">
      <alignment horizontal="center" vertical="center"/>
    </xf>
    <xf numFmtId="165" fontId="16" fillId="10" borderId="0" xfId="0" applyNumberFormat="1" applyFont="1" applyFill="1" applyAlignment="1">
      <alignment horizontal="right" vertical="center"/>
    </xf>
    <xf numFmtId="165" fontId="28" fillId="10" borderId="0" xfId="0" applyNumberFormat="1" applyFont="1" applyFill="1" applyAlignment="1">
      <alignment horizontal="right" vertical="center"/>
    </xf>
    <xf numFmtId="165" fontId="8" fillId="10" borderId="0" xfId="0" applyNumberFormat="1" applyFont="1" applyFill="1" applyAlignment="1">
      <alignment horizontal="right"/>
    </xf>
    <xf numFmtId="165" fontId="9" fillId="10" borderId="0" xfId="0" applyNumberFormat="1" applyFont="1" applyFill="1" applyAlignment="1">
      <alignment horizontal="right"/>
    </xf>
    <xf numFmtId="165" fontId="15" fillId="10" borderId="0" xfId="0" applyNumberFormat="1" applyFont="1" applyFill="1"/>
    <xf numFmtId="166" fontId="15" fillId="10" borderId="0" xfId="0" applyNumberFormat="1" applyFont="1" applyFill="1"/>
    <xf numFmtId="3" fontId="13" fillId="10" borderId="0" xfId="0" applyNumberFormat="1" applyFont="1" applyFill="1" applyAlignment="1">
      <alignment horizontal="left"/>
    </xf>
    <xf numFmtId="164" fontId="16" fillId="10" borderId="0" xfId="0" applyNumberFormat="1" applyFont="1" applyFill="1" applyAlignment="1">
      <alignment horizontal="right"/>
    </xf>
    <xf numFmtId="3" fontId="24" fillId="10" borderId="0" xfId="0" applyNumberFormat="1" applyFont="1" applyFill="1" applyAlignment="1">
      <alignment horizontal="left"/>
    </xf>
    <xf numFmtId="164" fontId="26" fillId="10" borderId="0" xfId="0" applyNumberFormat="1" applyFont="1" applyFill="1" applyAlignment="1">
      <alignment horizontal="right"/>
    </xf>
    <xf numFmtId="164" fontId="30" fillId="10" borderId="0" xfId="0" applyNumberFormat="1" applyFont="1" applyFill="1" applyAlignment="1">
      <alignment horizontal="right"/>
    </xf>
    <xf numFmtId="164" fontId="30" fillId="10" borderId="0" xfId="0" applyNumberFormat="1" applyFont="1" applyFill="1"/>
    <xf numFmtId="3" fontId="32" fillId="10" borderId="0" xfId="0" applyNumberFormat="1" applyFont="1" applyFill="1" applyAlignment="1">
      <alignment horizontal="center"/>
    </xf>
    <xf numFmtId="3" fontId="13" fillId="10" borderId="1" xfId="0" applyNumberFormat="1" applyFont="1" applyFill="1" applyBorder="1" applyAlignment="1">
      <alignment horizontal="center"/>
    </xf>
    <xf numFmtId="0" fontId="28" fillId="11" borderId="2" xfId="0" applyFont="1" applyFill="1" applyBorder="1" applyAlignment="1">
      <alignment horizontal="center" vertical="center" wrapText="1"/>
    </xf>
    <xf numFmtId="0" fontId="24" fillId="11" borderId="42" xfId="0" applyFont="1" applyFill="1" applyBorder="1" applyAlignment="1">
      <alignment horizontal="center" vertical="center" wrapText="1"/>
    </xf>
    <xf numFmtId="0" fontId="15" fillId="11" borderId="30" xfId="0" applyFont="1" applyFill="1" applyBorder="1" applyAlignment="1">
      <alignment horizontal="center"/>
    </xf>
    <xf numFmtId="0" fontId="15" fillId="11" borderId="47" xfId="0" applyFont="1" applyFill="1" applyBorder="1" applyAlignment="1">
      <alignment horizontal="center"/>
    </xf>
    <xf numFmtId="0" fontId="24" fillId="11" borderId="5" xfId="0" applyFont="1" applyFill="1" applyBorder="1" applyAlignment="1">
      <alignment horizontal="right" vertical="center"/>
    </xf>
    <xf numFmtId="0" fontId="11" fillId="11" borderId="5" xfId="0" applyFont="1" applyFill="1" applyBorder="1" applyAlignment="1">
      <alignment horizontal="center" vertical="center"/>
    </xf>
    <xf numFmtId="0" fontId="16" fillId="11" borderId="3" xfId="0" applyFont="1" applyFill="1" applyBorder="1" applyAlignment="1">
      <alignment horizontal="center" vertical="center" wrapText="1"/>
    </xf>
    <xf numFmtId="165" fontId="16" fillId="11" borderId="7" xfId="0" applyNumberFormat="1" applyFont="1" applyFill="1" applyBorder="1" applyAlignment="1">
      <alignment horizontal="center" vertical="center" wrapText="1"/>
    </xf>
    <xf numFmtId="165" fontId="28" fillId="11" borderId="7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vertical="center"/>
    </xf>
    <xf numFmtId="0" fontId="10" fillId="11" borderId="5" xfId="0" applyFont="1" applyFill="1" applyBorder="1" applyAlignment="1">
      <alignment horizontal="right" vertical="center"/>
    </xf>
    <xf numFmtId="164" fontId="28" fillId="11" borderId="27" xfId="0" applyNumberFormat="1" applyFont="1" applyFill="1" applyBorder="1" applyAlignment="1">
      <alignment vertical="center"/>
    </xf>
    <xf numFmtId="164" fontId="28" fillId="11" borderId="27" xfId="0" applyNumberFormat="1" applyFont="1" applyFill="1" applyBorder="1" applyAlignment="1">
      <alignment horizontal="center" vertical="center"/>
    </xf>
    <xf numFmtId="164" fontId="28" fillId="11" borderId="43" xfId="0" applyNumberFormat="1" applyFont="1" applyFill="1" applyBorder="1" applyAlignment="1">
      <alignment horizontal="center" vertical="center"/>
    </xf>
    <xf numFmtId="164" fontId="11" fillId="11" borderId="19" xfId="0" applyNumberFormat="1" applyFont="1" applyFill="1" applyBorder="1" applyAlignment="1">
      <alignment vertical="center"/>
    </xf>
    <xf numFmtId="164" fontId="11" fillId="11" borderId="21" xfId="0" applyNumberFormat="1" applyFont="1" applyFill="1" applyBorder="1" applyAlignment="1">
      <alignment vertical="center"/>
    </xf>
    <xf numFmtId="164" fontId="11" fillId="11" borderId="22" xfId="0" applyNumberFormat="1" applyFont="1" applyFill="1" applyBorder="1" applyAlignment="1">
      <alignment vertical="center"/>
    </xf>
    <xf numFmtId="164" fontId="9" fillId="11" borderId="10" xfId="0" applyNumberFormat="1" applyFont="1" applyFill="1" applyBorder="1" applyAlignment="1">
      <alignment horizontal="center" vertical="center"/>
    </xf>
    <xf numFmtId="164" fontId="9" fillId="11" borderId="16" xfId="0" applyNumberFormat="1" applyFont="1" applyFill="1" applyBorder="1" applyAlignment="1">
      <alignment horizontal="center" vertical="center"/>
    </xf>
    <xf numFmtId="164" fontId="9" fillId="11" borderId="13" xfId="0" applyNumberFormat="1" applyFont="1" applyFill="1" applyBorder="1" applyAlignment="1">
      <alignment horizontal="center" vertical="center"/>
    </xf>
    <xf numFmtId="164" fontId="9" fillId="11" borderId="14" xfId="0" applyNumberFormat="1" applyFont="1" applyFill="1" applyBorder="1" applyAlignment="1">
      <alignment horizontal="center" vertical="center"/>
    </xf>
    <xf numFmtId="0" fontId="49" fillId="10" borderId="0" xfId="0" applyFont="1" applyFill="1" applyAlignment="1">
      <alignment horizontal="center"/>
    </xf>
    <xf numFmtId="0" fontId="50" fillId="10" borderId="0" xfId="0" applyFont="1" applyFill="1" applyAlignment="1">
      <alignment horizontal="center"/>
    </xf>
    <xf numFmtId="0" fontId="37" fillId="10" borderId="0" xfId="0" applyFont="1" applyFill="1" applyAlignment="1">
      <alignment horizontal="center"/>
    </xf>
    <xf numFmtId="0" fontId="16" fillId="10" borderId="0" xfId="0" applyFont="1" applyFill="1" applyAlignment="1">
      <alignment horizontal="center"/>
    </xf>
    <xf numFmtId="173" fontId="51" fillId="10" borderId="0" xfId="0" applyNumberFormat="1" applyFont="1" applyFill="1" applyAlignment="1">
      <alignment horizontal="left"/>
    </xf>
    <xf numFmtId="173" fontId="52" fillId="10" borderId="0" xfId="0" applyNumberFormat="1" applyFont="1" applyFill="1" applyAlignment="1">
      <alignment horizontal="left"/>
    </xf>
    <xf numFmtId="164" fontId="24" fillId="7" borderId="0" xfId="0" applyNumberFormat="1" applyFont="1" applyFill="1" applyAlignment="1">
      <alignment horizontal="left" vertical="center"/>
    </xf>
    <xf numFmtId="3" fontId="13" fillId="7" borderId="0" xfId="0" applyNumberFormat="1" applyFont="1" applyFill="1" applyAlignment="1">
      <alignment horizontal="center"/>
    </xf>
    <xf numFmtId="165" fontId="16" fillId="7" borderId="0" xfId="0" applyNumberFormat="1" applyFont="1" applyFill="1" applyAlignment="1">
      <alignment horizontal="right"/>
    </xf>
    <xf numFmtId="165" fontId="15" fillId="7" borderId="0" xfId="0" applyNumberFormat="1" applyFont="1" applyFill="1" applyAlignment="1">
      <alignment horizontal="right"/>
    </xf>
    <xf numFmtId="3" fontId="53" fillId="7" borderId="0" xfId="0" applyNumberFormat="1" applyFont="1" applyFill="1" applyAlignment="1">
      <alignment horizontal="center" vertical="center"/>
    </xf>
    <xf numFmtId="0" fontId="24" fillId="11" borderId="2" xfId="0" applyFont="1" applyFill="1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right" vertical="center"/>
    </xf>
    <xf numFmtId="165" fontId="9" fillId="0" borderId="7" xfId="0" applyNumberFormat="1" applyFont="1" applyBorder="1" applyAlignment="1">
      <alignment horizontal="left" vertical="center"/>
    </xf>
    <xf numFmtId="164" fontId="28" fillId="11" borderId="4" xfId="0" applyNumberFormat="1" applyFont="1" applyFill="1" applyBorder="1" applyAlignment="1">
      <alignment horizontal="center" vertical="center" wrapText="1"/>
    </xf>
    <xf numFmtId="164" fontId="28" fillId="11" borderId="5" xfId="0" applyNumberFormat="1" applyFont="1" applyFill="1" applyBorder="1" applyAlignment="1">
      <alignment horizontal="center" vertical="center" wrapText="1"/>
    </xf>
    <xf numFmtId="164" fontId="28" fillId="11" borderId="6" xfId="0" applyNumberFormat="1" applyFont="1" applyFill="1" applyBorder="1" applyAlignment="1">
      <alignment horizontal="center" vertical="center" wrapText="1"/>
    </xf>
    <xf numFmtId="0" fontId="54" fillId="10" borderId="0" xfId="0" applyFont="1" applyFill="1" applyAlignment="1">
      <alignment horizontal="center"/>
    </xf>
    <xf numFmtId="3" fontId="26" fillId="7" borderId="0" xfId="0" applyNumberFormat="1" applyFont="1" applyFill="1" applyAlignment="1">
      <alignment vertical="center"/>
    </xf>
    <xf numFmtId="164" fontId="32" fillId="7" borderId="5" xfId="0" applyNumberFormat="1" applyFont="1" applyFill="1" applyBorder="1" applyAlignment="1">
      <alignment vertical="center"/>
    </xf>
    <xf numFmtId="0" fontId="30" fillId="7" borderId="0" xfId="0" applyFont="1" applyFill="1"/>
    <xf numFmtId="0" fontId="35" fillId="7" borderId="0" xfId="0" applyFont="1" applyFill="1"/>
    <xf numFmtId="164" fontId="15" fillId="7" borderId="0" xfId="0" applyNumberFormat="1" applyFont="1" applyFill="1"/>
    <xf numFmtId="164" fontId="54" fillId="10" borderId="0" xfId="0" applyNumberFormat="1" applyFont="1" applyFill="1"/>
    <xf numFmtId="164" fontId="49" fillId="10" borderId="0" xfId="0" applyNumberFormat="1" applyFont="1" applyFill="1"/>
    <xf numFmtId="164" fontId="50" fillId="10" borderId="0" xfId="0" applyNumberFormat="1" applyFont="1" applyFill="1"/>
    <xf numFmtId="3" fontId="26" fillId="10" borderId="0" xfId="0" applyNumberFormat="1" applyFont="1" applyFill="1" applyAlignment="1">
      <alignment horizontal="right"/>
    </xf>
    <xf numFmtId="0" fontId="55" fillId="0" borderId="5" xfId="0" applyFont="1" applyBorder="1" applyAlignment="1">
      <alignment horizontal="center" vertical="center"/>
    </xf>
    <xf numFmtId="0" fontId="41" fillId="7" borderId="0" xfId="0" applyFont="1" applyFill="1" applyAlignment="1">
      <alignment horizontal="center" vertical="center"/>
    </xf>
    <xf numFmtId="164" fontId="11" fillId="11" borderId="12" xfId="0" applyNumberFormat="1" applyFont="1" applyFill="1" applyBorder="1" applyAlignment="1">
      <alignment vertical="center"/>
    </xf>
    <xf numFmtId="164" fontId="11" fillId="11" borderId="55" xfId="0" applyNumberFormat="1" applyFont="1" applyFill="1" applyBorder="1" applyAlignment="1">
      <alignment vertical="center"/>
    </xf>
    <xf numFmtId="9" fontId="9" fillId="11" borderId="10" xfId="0" applyNumberFormat="1" applyFont="1" applyFill="1" applyBorder="1" applyAlignment="1">
      <alignment horizontal="center" vertical="center"/>
    </xf>
    <xf numFmtId="9" fontId="9" fillId="11" borderId="16" xfId="0" applyNumberFormat="1" applyFont="1" applyFill="1" applyBorder="1" applyAlignment="1">
      <alignment horizontal="center" vertical="center"/>
    </xf>
    <xf numFmtId="164" fontId="11" fillId="11" borderId="6" xfId="0" applyNumberFormat="1" applyFont="1" applyFill="1" applyBorder="1" applyAlignment="1">
      <alignment vertical="center"/>
    </xf>
    <xf numFmtId="164" fontId="11" fillId="11" borderId="4" xfId="0" applyNumberFormat="1" applyFont="1" applyFill="1" applyBorder="1" applyAlignment="1">
      <alignment vertical="center"/>
    </xf>
    <xf numFmtId="164" fontId="9" fillId="11" borderId="5" xfId="0" applyNumberFormat="1" applyFont="1" applyFill="1" applyBorder="1" applyAlignment="1">
      <alignment horizontal="center" vertical="center"/>
    </xf>
    <xf numFmtId="164" fontId="9" fillId="11" borderId="29" xfId="0" applyNumberFormat="1" applyFont="1" applyFill="1" applyBorder="1" applyAlignment="1">
      <alignment horizontal="center" vertical="center"/>
    </xf>
    <xf numFmtId="0" fontId="56" fillId="11" borderId="4" xfId="0" applyFont="1" applyFill="1" applyBorder="1" applyAlignment="1">
      <alignment horizontal="center" vertical="center"/>
    </xf>
    <xf numFmtId="0" fontId="56" fillId="11" borderId="5" xfId="0" applyFont="1" applyFill="1" applyBorder="1" applyAlignment="1">
      <alignment horizontal="center" vertical="center"/>
    </xf>
    <xf numFmtId="164" fontId="56" fillId="11" borderId="4" xfId="0" applyNumberFormat="1" applyFont="1" applyFill="1" applyBorder="1" applyAlignment="1">
      <alignment horizontal="center" vertical="center"/>
    </xf>
    <xf numFmtId="164" fontId="56" fillId="11" borderId="5" xfId="0" applyNumberFormat="1" applyFont="1" applyFill="1" applyBorder="1" applyAlignment="1">
      <alignment horizontal="center" vertical="center"/>
    </xf>
    <xf numFmtId="164" fontId="56" fillId="11" borderId="6" xfId="0" applyNumberFormat="1" applyFont="1" applyFill="1" applyBorder="1" applyAlignment="1">
      <alignment horizontal="center" vertical="center"/>
    </xf>
    <xf numFmtId="165" fontId="56" fillId="11" borderId="7" xfId="0" applyNumberFormat="1" applyFont="1" applyFill="1" applyBorder="1" applyAlignment="1">
      <alignment horizontal="center" vertical="center" wrapText="1"/>
    </xf>
    <xf numFmtId="3" fontId="10" fillId="12" borderId="20" xfId="0" applyNumberFormat="1" applyFont="1" applyFill="1" applyBorder="1" applyAlignment="1">
      <alignment horizontal="center" vertical="center"/>
    </xf>
    <xf numFmtId="164" fontId="11" fillId="12" borderId="27" xfId="0" applyNumberFormat="1" applyFont="1" applyFill="1" applyBorder="1" applyAlignment="1">
      <alignment vertical="center"/>
    </xf>
    <xf numFmtId="164" fontId="11" fillId="12" borderId="27" xfId="0" applyNumberFormat="1" applyFont="1" applyFill="1" applyBorder="1" applyAlignment="1">
      <alignment horizontal="center" vertical="center"/>
    </xf>
    <xf numFmtId="164" fontId="11" fillId="12" borderId="43" xfId="0" applyNumberFormat="1" applyFont="1" applyFill="1" applyBorder="1" applyAlignment="1">
      <alignment horizontal="center" vertical="center"/>
    </xf>
    <xf numFmtId="165" fontId="8" fillId="12" borderId="26" xfId="0" applyNumberFormat="1" applyFont="1" applyFill="1" applyBorder="1" applyAlignment="1">
      <alignment horizontal="right" vertical="center"/>
    </xf>
    <xf numFmtId="165" fontId="11" fillId="12" borderId="1" xfId="0" applyNumberFormat="1" applyFont="1" applyFill="1" applyBorder="1" applyAlignment="1">
      <alignment horizontal="right" vertical="center"/>
    </xf>
    <xf numFmtId="3" fontId="24" fillId="11" borderId="56" xfId="0" applyNumberFormat="1" applyFont="1" applyFill="1" applyBorder="1" applyAlignment="1">
      <alignment horizontal="center" vertical="center"/>
    </xf>
    <xf numFmtId="0" fontId="15" fillId="3" borderId="5" xfId="0" quotePrefix="1" applyFont="1" applyFill="1" applyBorder="1" applyAlignment="1">
      <alignment horizontal="left" vertical="center"/>
    </xf>
    <xf numFmtId="9" fontId="11" fillId="11" borderId="5" xfId="0" applyNumberFormat="1" applyFont="1" applyFill="1" applyBorder="1" applyAlignment="1">
      <alignment horizontal="center" vertical="center"/>
    </xf>
    <xf numFmtId="9" fontId="11" fillId="11" borderId="29" xfId="0" applyNumberFormat="1" applyFont="1" applyFill="1" applyBorder="1" applyAlignment="1">
      <alignment horizontal="center" vertical="center"/>
    </xf>
    <xf numFmtId="0" fontId="32" fillId="10" borderId="0" xfId="0" applyFont="1" applyFill="1" applyAlignment="1">
      <alignment vertical="center"/>
    </xf>
    <xf numFmtId="0" fontId="24" fillId="7" borderId="0" xfId="0" applyFont="1" applyFill="1" applyAlignment="1">
      <alignment vertical="center"/>
    </xf>
    <xf numFmtId="3" fontId="32" fillId="7" borderId="0" xfId="0" applyNumberFormat="1" applyFont="1" applyFill="1" applyAlignment="1">
      <alignment horizontal="center" vertical="center"/>
    </xf>
    <xf numFmtId="0" fontId="46" fillId="7" borderId="5" xfId="0" applyFont="1" applyFill="1" applyBorder="1" applyAlignment="1">
      <alignment horizontal="center" vertical="center" wrapText="1"/>
    </xf>
    <xf numFmtId="0" fontId="32" fillId="7" borderId="0" xfId="0" applyFont="1" applyFill="1" applyAlignment="1">
      <alignment vertical="center"/>
    </xf>
    <xf numFmtId="0" fontId="39" fillId="7" borderId="0" xfId="0" applyFont="1" applyFill="1" applyAlignment="1">
      <alignment horizontal="center" vertical="center"/>
    </xf>
    <xf numFmtId="0" fontId="39" fillId="7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2" fillId="13" borderId="50" xfId="0" applyFont="1" applyFill="1" applyBorder="1" applyAlignment="1">
      <alignment horizontal="center" vertical="center"/>
    </xf>
    <xf numFmtId="0" fontId="32" fillId="0" borderId="4" xfId="0" applyFont="1" applyBorder="1" applyAlignment="1">
      <alignment vertical="center"/>
    </xf>
    <xf numFmtId="0" fontId="47" fillId="8" borderId="8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vertical="center"/>
    </xf>
    <xf numFmtId="0" fontId="15" fillId="8" borderId="5" xfId="0" applyFont="1" applyFill="1" applyBorder="1" applyAlignment="1">
      <alignment horizontal="left" vertical="center"/>
    </xf>
    <xf numFmtId="0" fontId="55" fillId="8" borderId="5" xfId="0" applyFont="1" applyFill="1" applyBorder="1" applyAlignment="1">
      <alignment horizontal="center" vertical="center"/>
    </xf>
    <xf numFmtId="165" fontId="13" fillId="8" borderId="7" xfId="0" quotePrefix="1" applyNumberFormat="1" applyFont="1" applyFill="1" applyBorder="1" applyAlignment="1">
      <alignment horizontal="right" vertical="center"/>
    </xf>
    <xf numFmtId="165" fontId="15" fillId="8" borderId="7" xfId="0" quotePrefix="1" applyNumberFormat="1" applyFont="1" applyFill="1" applyBorder="1" applyAlignment="1">
      <alignment horizontal="right" vertical="center"/>
    </xf>
    <xf numFmtId="165" fontId="15" fillId="8" borderId="7" xfId="0" quotePrefix="1" applyNumberFormat="1" applyFont="1" applyFill="1" applyBorder="1" applyAlignment="1">
      <alignment horizontal="left" vertical="center"/>
    </xf>
    <xf numFmtId="0" fontId="9" fillId="0" borderId="4" xfId="0" quotePrefix="1" applyFont="1" applyBorder="1" applyAlignment="1">
      <alignment vertical="center"/>
    </xf>
    <xf numFmtId="0" fontId="42" fillId="0" borderId="5" xfId="0" applyFont="1" applyBorder="1" applyAlignment="1">
      <alignment horizontal="center" vertical="center"/>
    </xf>
    <xf numFmtId="165" fontId="9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4" fontId="15" fillId="0" borderId="0" xfId="0" applyNumberFormat="1" applyFont="1" applyAlignment="1">
      <alignment vertical="center"/>
    </xf>
    <xf numFmtId="0" fontId="27" fillId="0" borderId="0" xfId="0" applyFont="1"/>
    <xf numFmtId="4" fontId="9" fillId="0" borderId="0" xfId="0" applyNumberFormat="1" applyFont="1"/>
    <xf numFmtId="0" fontId="9" fillId="0" borderId="53" xfId="0" quotePrefix="1" applyFont="1" applyBorder="1" applyAlignment="1">
      <alignment vertical="center"/>
    </xf>
    <xf numFmtId="0" fontId="58" fillId="0" borderId="5" xfId="0" applyFont="1" applyBorder="1" applyAlignment="1">
      <alignment horizontal="center" vertical="center"/>
    </xf>
    <xf numFmtId="0" fontId="28" fillId="10" borderId="45" xfId="0" applyFont="1" applyFill="1" applyBorder="1" applyAlignment="1">
      <alignment horizontal="center"/>
    </xf>
    <xf numFmtId="0" fontId="59" fillId="10" borderId="0" xfId="0" applyFont="1" applyFill="1" applyAlignment="1">
      <alignment horizontal="center"/>
    </xf>
    <xf numFmtId="164" fontId="37" fillId="10" borderId="0" xfId="0" applyNumberFormat="1" applyFont="1" applyFill="1"/>
    <xf numFmtId="3" fontId="1" fillId="2" borderId="0" xfId="0" applyNumberFormat="1" applyFont="1" applyFill="1"/>
    <xf numFmtId="164" fontId="59" fillId="10" borderId="0" xfId="0" applyNumberFormat="1" applyFont="1" applyFill="1" applyAlignment="1">
      <alignment horizontal="right"/>
    </xf>
    <xf numFmtId="3" fontId="24" fillId="7" borderId="0" xfId="0" applyNumberFormat="1" applyFont="1" applyFill="1"/>
    <xf numFmtId="3" fontId="16" fillId="10" borderId="0" xfId="0" applyNumberFormat="1" applyFont="1" applyFill="1" applyAlignment="1">
      <alignment horizontal="right"/>
    </xf>
    <xf numFmtId="3" fontId="54" fillId="10" borderId="0" xfId="0" applyNumberFormat="1" applyFont="1" applyFill="1" applyAlignment="1">
      <alignment horizontal="right"/>
    </xf>
    <xf numFmtId="3" fontId="49" fillId="10" borderId="0" xfId="0" applyNumberFormat="1" applyFont="1" applyFill="1" applyAlignment="1">
      <alignment horizontal="right"/>
    </xf>
    <xf numFmtId="3" fontId="50" fillId="10" borderId="0" xfId="0" applyNumberFormat="1" applyFont="1" applyFill="1" applyAlignment="1">
      <alignment horizontal="right"/>
    </xf>
    <xf numFmtId="3" fontId="37" fillId="10" borderId="0" xfId="0" applyNumberFormat="1" applyFont="1" applyFill="1" applyAlignment="1">
      <alignment horizontal="right"/>
    </xf>
    <xf numFmtId="164" fontId="28" fillId="10" borderId="51" xfId="0" applyNumberFormat="1" applyFont="1" applyFill="1" applyBorder="1" applyAlignment="1">
      <alignment horizontal="left" vertical="center"/>
    </xf>
    <xf numFmtId="164" fontId="28" fillId="10" borderId="5" xfId="0" applyNumberFormat="1" applyFont="1" applyFill="1" applyBorder="1" applyAlignment="1">
      <alignment horizontal="left" vertical="center"/>
    </xf>
    <xf numFmtId="164" fontId="13" fillId="10" borderId="5" xfId="0" applyNumberFormat="1" applyFont="1" applyFill="1" applyBorder="1" applyAlignment="1">
      <alignment horizontal="center" vertical="center"/>
    </xf>
    <xf numFmtId="164" fontId="32" fillId="10" borderId="5" xfId="0" applyNumberFormat="1" applyFont="1" applyFill="1" applyBorder="1" applyAlignment="1">
      <alignment horizontal="center" vertical="center"/>
    </xf>
    <xf numFmtId="164" fontId="13" fillId="10" borderId="29" xfId="0" applyNumberFormat="1" applyFont="1" applyFill="1" applyBorder="1" applyAlignment="1">
      <alignment horizontal="center" vertical="center"/>
    </xf>
    <xf numFmtId="164" fontId="28" fillId="10" borderId="52" xfId="0" applyNumberFormat="1" applyFont="1" applyFill="1" applyBorder="1" applyAlignment="1">
      <alignment horizontal="left" vertical="center"/>
    </xf>
    <xf numFmtId="164" fontId="28" fillId="10" borderId="10" xfId="0" applyNumberFormat="1" applyFont="1" applyFill="1" applyBorder="1" applyAlignment="1">
      <alignment horizontal="left" vertical="center"/>
    </xf>
    <xf numFmtId="164" fontId="13" fillId="10" borderId="10" xfId="0" applyNumberFormat="1" applyFont="1" applyFill="1" applyBorder="1" applyAlignment="1">
      <alignment horizontal="center" vertical="center"/>
    </xf>
    <xf numFmtId="164" fontId="32" fillId="10" borderId="16" xfId="0" applyNumberFormat="1" applyFont="1" applyFill="1" applyBorder="1" applyAlignment="1">
      <alignment horizontal="center" vertical="center"/>
    </xf>
    <xf numFmtId="165" fontId="38" fillId="3" borderId="7" xfId="0" quotePrefix="1" applyNumberFormat="1" applyFont="1" applyFill="1" applyBorder="1" applyAlignment="1">
      <alignment horizontal="right" vertical="center"/>
    </xf>
    <xf numFmtId="165" fontId="60" fillId="3" borderId="7" xfId="0" quotePrefix="1" applyNumberFormat="1" applyFont="1" applyFill="1" applyBorder="1" applyAlignment="1">
      <alignment horizontal="right" vertical="center"/>
    </xf>
    <xf numFmtId="0" fontId="35" fillId="7" borderId="5" xfId="0" applyFont="1" applyFill="1" applyBorder="1" applyAlignment="1">
      <alignment vertical="center"/>
    </xf>
    <xf numFmtId="0" fontId="30" fillId="7" borderId="5" xfId="0" applyFont="1" applyFill="1" applyBorder="1" applyAlignment="1">
      <alignment vertical="center"/>
    </xf>
    <xf numFmtId="0" fontId="26" fillId="7" borderId="5" xfId="0" applyFont="1" applyFill="1" applyBorder="1" applyAlignment="1">
      <alignment horizontal="center"/>
    </xf>
    <xf numFmtId="164" fontId="13" fillId="7" borderId="0" xfId="0" applyNumberFormat="1" applyFont="1" applyFill="1" applyAlignment="1">
      <alignment horizontal="center" vertical="center"/>
    </xf>
    <xf numFmtId="164" fontId="15" fillId="7" borderId="0" xfId="0" applyNumberFormat="1" applyFont="1" applyFill="1" applyAlignment="1">
      <alignment horizontal="center" vertical="center"/>
    </xf>
    <xf numFmtId="164" fontId="32" fillId="7" borderId="0" xfId="0" applyNumberFormat="1" applyFont="1" applyFill="1" applyAlignment="1">
      <alignment horizontal="center" vertical="center"/>
    </xf>
    <xf numFmtId="164" fontId="15" fillId="7" borderId="0" xfId="0" applyNumberFormat="1" applyFont="1" applyFill="1" applyAlignment="1">
      <alignment vertical="center"/>
    </xf>
    <xf numFmtId="164" fontId="10" fillId="7" borderId="0" xfId="0" applyNumberFormat="1" applyFont="1" applyFill="1"/>
    <xf numFmtId="164" fontId="15" fillId="0" borderId="0" xfId="0" applyNumberFormat="1" applyFont="1" applyAlignment="1">
      <alignment horizontal="center" vertical="center"/>
    </xf>
    <xf numFmtId="164" fontId="16" fillId="7" borderId="5" xfId="0" applyNumberFormat="1" applyFont="1" applyFill="1" applyBorder="1" applyAlignment="1">
      <alignment horizontal="center"/>
    </xf>
    <xf numFmtId="164" fontId="35" fillId="7" borderId="5" xfId="0" applyNumberFormat="1" applyFont="1" applyFill="1" applyBorder="1" applyAlignment="1">
      <alignment vertical="center"/>
    </xf>
    <xf numFmtId="164" fontId="26" fillId="7" borderId="5" xfId="0" applyNumberFormat="1" applyFont="1" applyFill="1" applyBorder="1" applyAlignment="1">
      <alignment horizontal="center"/>
    </xf>
    <xf numFmtId="164" fontId="32" fillId="9" borderId="5" xfId="0" applyNumberFormat="1" applyFont="1" applyFill="1" applyBorder="1" applyAlignment="1">
      <alignment vertical="center"/>
    </xf>
    <xf numFmtId="3" fontId="32" fillId="9" borderId="5" xfId="0" applyNumberFormat="1" applyFont="1" applyFill="1" applyBorder="1" applyAlignment="1">
      <alignment vertical="center"/>
    </xf>
    <xf numFmtId="164" fontId="59" fillId="10" borderId="0" xfId="0" applyNumberFormat="1" applyFont="1" applyFill="1"/>
    <xf numFmtId="3" fontId="26" fillId="10" borderId="0" xfId="0" applyNumberFormat="1" applyFont="1" applyFill="1"/>
    <xf numFmtId="0" fontId="61" fillId="10" borderId="0" xfId="0" applyFont="1" applyFill="1" applyAlignment="1">
      <alignment horizontal="center"/>
    </xf>
    <xf numFmtId="164" fontId="61" fillId="10" borderId="0" xfId="0" applyNumberFormat="1" applyFont="1" applyFill="1"/>
    <xf numFmtId="3" fontId="61" fillId="10" borderId="0" xfId="0" applyNumberFormat="1" applyFont="1" applyFill="1"/>
    <xf numFmtId="0" fontId="62" fillId="10" borderId="0" xfId="0" applyFont="1" applyFill="1"/>
    <xf numFmtId="164" fontId="61" fillId="10" borderId="0" xfId="0" applyNumberFormat="1" applyFont="1" applyFill="1" applyAlignment="1">
      <alignment horizontal="right"/>
    </xf>
    <xf numFmtId="3" fontId="61" fillId="10" borderId="0" xfId="0" applyNumberFormat="1" applyFont="1" applyFill="1" applyAlignment="1">
      <alignment horizontal="right"/>
    </xf>
    <xf numFmtId="174" fontId="11" fillId="11" borderId="29" xfId="0" applyNumberFormat="1" applyFont="1" applyFill="1" applyBorder="1" applyAlignment="1">
      <alignment horizontal="center" vertical="center"/>
    </xf>
    <xf numFmtId="164" fontId="9" fillId="10" borderId="5" xfId="0" applyNumberFormat="1" applyFont="1" applyFill="1" applyBorder="1" applyAlignment="1">
      <alignment horizontal="center" vertical="center"/>
    </xf>
    <xf numFmtId="9" fontId="9" fillId="10" borderId="10" xfId="0" applyNumberFormat="1" applyFont="1" applyFill="1" applyBorder="1" applyAlignment="1">
      <alignment horizontal="center" vertical="center"/>
    </xf>
    <xf numFmtId="0" fontId="30" fillId="13" borderId="50" xfId="0" applyFont="1" applyFill="1" applyBorder="1" applyAlignment="1">
      <alignment horizontal="center" vertical="center"/>
    </xf>
    <xf numFmtId="3" fontId="30" fillId="7" borderId="49" xfId="0" applyNumberFormat="1" applyFont="1" applyFill="1" applyBorder="1" applyAlignment="1">
      <alignment vertical="center"/>
    </xf>
    <xf numFmtId="4" fontId="30" fillId="7" borderId="49" xfId="0" applyNumberFormat="1" applyFont="1" applyFill="1" applyBorder="1" applyAlignment="1">
      <alignment vertical="center"/>
    </xf>
    <xf numFmtId="165" fontId="11" fillId="3" borderId="7" xfId="0" applyNumberFormat="1" applyFont="1" applyFill="1" applyBorder="1" applyAlignment="1">
      <alignment horizontal="left" vertical="center"/>
    </xf>
    <xf numFmtId="0" fontId="58" fillId="3" borderId="5" xfId="0" applyFont="1" applyFill="1" applyBorder="1" applyAlignment="1">
      <alignment horizontal="center" vertical="center"/>
    </xf>
    <xf numFmtId="0" fontId="41" fillId="3" borderId="4" xfId="0" applyFont="1" applyFill="1" applyBorder="1" applyAlignment="1">
      <alignment horizontal="center" vertical="center"/>
    </xf>
    <xf numFmtId="0" fontId="32" fillId="0" borderId="4" xfId="0" quotePrefix="1" applyFont="1" applyBorder="1" applyAlignment="1">
      <alignment vertical="center"/>
    </xf>
    <xf numFmtId="0" fontId="15" fillId="0" borderId="53" xfId="0" quotePrefix="1" applyFont="1" applyBorder="1" applyAlignment="1">
      <alignment vertical="center"/>
    </xf>
    <xf numFmtId="0" fontId="63" fillId="0" borderId="5" xfId="0" applyFont="1" applyBorder="1" applyAlignment="1">
      <alignment horizontal="center" vertical="center"/>
    </xf>
    <xf numFmtId="0" fontId="26" fillId="7" borderId="0" xfId="0" applyFont="1" applyFill="1" applyAlignment="1">
      <alignment vertical="center"/>
    </xf>
    <xf numFmtId="164" fontId="26" fillId="7" borderId="0" xfId="0" applyNumberFormat="1" applyFont="1" applyFill="1" applyAlignment="1">
      <alignment horizontal="left" vertical="center"/>
    </xf>
    <xf numFmtId="0" fontId="26" fillId="7" borderId="0" xfId="0" applyFont="1" applyFill="1"/>
    <xf numFmtId="0" fontId="24" fillId="10" borderId="0" xfId="0" applyFont="1" applyFill="1" applyAlignment="1">
      <alignment horizontal="right"/>
    </xf>
    <xf numFmtId="0" fontId="26" fillId="10" borderId="0" xfId="0" applyFont="1" applyFill="1" applyAlignment="1">
      <alignment horizontal="right"/>
    </xf>
    <xf numFmtId="0" fontId="15" fillId="10" borderId="0" xfId="0" applyFont="1" applyFill="1" applyAlignment="1">
      <alignment horizontal="right"/>
    </xf>
    <xf numFmtId="0" fontId="64" fillId="10" borderId="0" xfId="0" applyFont="1" applyFill="1" applyAlignment="1">
      <alignment horizontal="center"/>
    </xf>
    <xf numFmtId="164" fontId="64" fillId="10" borderId="0" xfId="0" applyNumberFormat="1" applyFont="1" applyFill="1" applyAlignment="1">
      <alignment horizontal="right"/>
    </xf>
    <xf numFmtId="3" fontId="64" fillId="10" borderId="0" xfId="0" applyNumberFormat="1" applyFont="1" applyFill="1" applyAlignment="1">
      <alignment horizontal="right"/>
    </xf>
    <xf numFmtId="0" fontId="67" fillId="10" borderId="45" xfId="0" applyFont="1" applyFill="1" applyBorder="1" applyAlignment="1">
      <alignment horizontal="left"/>
    </xf>
    <xf numFmtId="167" fontId="15" fillId="14" borderId="0" xfId="0" applyNumberFormat="1" applyFont="1" applyFill="1"/>
    <xf numFmtId="164" fontId="26" fillId="10" borderId="0" xfId="0" applyNumberFormat="1" applyFont="1" applyFill="1"/>
    <xf numFmtId="3" fontId="30" fillId="10" borderId="0" xfId="0" applyNumberFormat="1" applyFont="1" applyFill="1" applyAlignment="1">
      <alignment horizontal="right"/>
    </xf>
    <xf numFmtId="3" fontId="30" fillId="10" borderId="0" xfId="0" applyNumberFormat="1" applyFont="1" applyFill="1"/>
    <xf numFmtId="3" fontId="59" fillId="10" borderId="0" xfId="0" applyNumberFormat="1" applyFont="1" applyFill="1"/>
    <xf numFmtId="164" fontId="71" fillId="7" borderId="0" xfId="0" applyNumberFormat="1" applyFont="1" applyFill="1"/>
    <xf numFmtId="3" fontId="30" fillId="10" borderId="0" xfId="0" applyNumberFormat="1" applyFont="1" applyFill="1" applyAlignment="1">
      <alignment horizontal="center"/>
    </xf>
    <xf numFmtId="0" fontId="71" fillId="7" borderId="0" xfId="0" applyFont="1" applyFill="1"/>
    <xf numFmtId="0" fontId="26" fillId="7" borderId="0" xfId="0" applyFont="1" applyFill="1" applyAlignment="1">
      <alignment horizontal="center" vertical="center"/>
    </xf>
    <xf numFmtId="3" fontId="13" fillId="7" borderId="0" xfId="0" applyNumberFormat="1" applyFont="1" applyFill="1" applyAlignment="1">
      <alignment vertical="center"/>
    </xf>
    <xf numFmtId="3" fontId="30" fillId="7" borderId="0" xfId="0" applyNumberFormat="1" applyFont="1" applyFill="1"/>
    <xf numFmtId="4" fontId="72" fillId="0" borderId="0" xfId="0" applyNumberFormat="1" applyFont="1"/>
    <xf numFmtId="1" fontId="72" fillId="0" borderId="0" xfId="0" applyNumberFormat="1" applyFont="1"/>
    <xf numFmtId="0" fontId="15" fillId="7" borderId="0" xfId="0" applyFont="1" applyFill="1" applyAlignment="1">
      <alignment horizontal="right"/>
    </xf>
    <xf numFmtId="168" fontId="30" fillId="7" borderId="0" xfId="0" applyNumberFormat="1" applyFont="1" applyFill="1" applyAlignment="1">
      <alignment vertical="center"/>
    </xf>
    <xf numFmtId="4" fontId="30" fillId="7" borderId="0" xfId="0" applyNumberFormat="1" applyFont="1" applyFill="1"/>
    <xf numFmtId="0" fontId="73" fillId="7" borderId="0" xfId="0" applyFont="1" applyFill="1"/>
    <xf numFmtId="0" fontId="30" fillId="7" borderId="0" xfId="0" applyFont="1" applyFill="1" applyAlignment="1">
      <alignment horizontal="right"/>
    </xf>
    <xf numFmtId="164" fontId="26" fillId="7" borderId="0" xfId="0" applyNumberFormat="1" applyFont="1" applyFill="1" applyAlignment="1">
      <alignment vertical="center"/>
    </xf>
    <xf numFmtId="0" fontId="30" fillId="7" borderId="0" xfId="0" applyFont="1" applyFill="1" applyAlignment="1">
      <alignment horizontal="left"/>
    </xf>
    <xf numFmtId="164" fontId="56" fillId="11" borderId="59" xfId="0" applyNumberFormat="1" applyFont="1" applyFill="1" applyBorder="1" applyAlignment="1">
      <alignment horizontal="center" vertical="center"/>
    </xf>
    <xf numFmtId="164" fontId="30" fillId="7" borderId="0" xfId="0" applyNumberFormat="1" applyFont="1" applyFill="1"/>
    <xf numFmtId="165" fontId="27" fillId="10" borderId="0" xfId="0" applyNumberFormat="1" applyFont="1" applyFill="1" applyAlignment="1">
      <alignment horizontal="center"/>
    </xf>
    <xf numFmtId="167" fontId="26" fillId="7" borderId="5" xfId="0" applyNumberFormat="1" applyFont="1" applyFill="1" applyBorder="1" applyAlignment="1">
      <alignment vertical="center"/>
    </xf>
    <xf numFmtId="165" fontId="9" fillId="0" borderId="11" xfId="0" quotePrefix="1" applyNumberFormat="1" applyFont="1" applyBorder="1" applyAlignment="1">
      <alignment horizontal="left" vertical="center"/>
    </xf>
    <xf numFmtId="3" fontId="26" fillId="7" borderId="0" xfId="0" applyNumberFormat="1" applyFont="1" applyFill="1" applyAlignment="1">
      <alignment horizontal="center" vertical="center"/>
    </xf>
    <xf numFmtId="165" fontId="30" fillId="7" borderId="0" xfId="0" applyNumberFormat="1" applyFont="1" applyFill="1"/>
    <xf numFmtId="3" fontId="26" fillId="7" borderId="0" xfId="0" applyNumberFormat="1" applyFont="1" applyFill="1"/>
    <xf numFmtId="165" fontId="15" fillId="8" borderId="11" xfId="0" quotePrefix="1" applyNumberFormat="1" applyFont="1" applyFill="1" applyBorder="1" applyAlignment="1">
      <alignment horizontal="left" vertical="center"/>
    </xf>
    <xf numFmtId="0" fontId="24" fillId="7" borderId="5" xfId="0" applyFont="1" applyFill="1" applyBorder="1" applyAlignment="1">
      <alignment horizontal="center"/>
    </xf>
    <xf numFmtId="0" fontId="66" fillId="10" borderId="0" xfId="1" applyFont="1" applyFill="1" applyAlignment="1">
      <alignment horizontal="center"/>
    </xf>
    <xf numFmtId="0" fontId="24" fillId="7" borderId="6" xfId="0" applyFont="1" applyFill="1" applyBorder="1" applyAlignment="1">
      <alignment horizontal="center"/>
    </xf>
    <xf numFmtId="0" fontId="24" fillId="7" borderId="15" xfId="0" applyFont="1" applyFill="1" applyBorder="1" applyAlignment="1">
      <alignment horizontal="center"/>
    </xf>
    <xf numFmtId="0" fontId="24" fillId="7" borderId="4" xfId="0" applyFont="1" applyFill="1" applyBorder="1" applyAlignment="1">
      <alignment horizontal="center"/>
    </xf>
    <xf numFmtId="0" fontId="28" fillId="7" borderId="6" xfId="0" applyFont="1" applyFill="1" applyBorder="1" applyAlignment="1">
      <alignment horizontal="center"/>
    </xf>
    <xf numFmtId="0" fontId="28" fillId="7" borderId="15" xfId="0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8" fillId="7" borderId="5" xfId="0" applyFont="1" applyFill="1" applyBorder="1" applyAlignment="1">
      <alignment horizontal="center"/>
    </xf>
    <xf numFmtId="3" fontId="10" fillId="11" borderId="17" xfId="0" applyNumberFormat="1" applyFont="1" applyFill="1" applyBorder="1" applyAlignment="1">
      <alignment horizontal="center" vertical="center"/>
    </xf>
    <xf numFmtId="3" fontId="10" fillId="11" borderId="23" xfId="0" applyNumberFormat="1" applyFont="1" applyFill="1" applyBorder="1" applyAlignment="1">
      <alignment horizontal="center" vertical="center"/>
    </xf>
    <xf numFmtId="3" fontId="10" fillId="11" borderId="20" xfId="0" applyNumberFormat="1" applyFont="1" applyFill="1" applyBorder="1" applyAlignment="1">
      <alignment horizontal="center" vertical="center"/>
    </xf>
    <xf numFmtId="3" fontId="10" fillId="11" borderId="17" xfId="0" applyNumberFormat="1" applyFont="1" applyFill="1" applyBorder="1" applyAlignment="1">
      <alignment horizontal="center" vertical="center" wrapText="1"/>
    </xf>
    <xf numFmtId="3" fontId="10" fillId="11" borderId="20" xfId="0" applyNumberFormat="1" applyFont="1" applyFill="1" applyBorder="1" applyAlignment="1">
      <alignment horizontal="center" vertical="center" wrapText="1"/>
    </xf>
    <xf numFmtId="164" fontId="11" fillId="11" borderId="18" xfId="0" applyNumberFormat="1" applyFont="1" applyFill="1" applyBorder="1" applyAlignment="1">
      <alignment horizontal="center" vertical="center"/>
    </xf>
    <xf numFmtId="164" fontId="11" fillId="11" borderId="12" xfId="0" applyNumberFormat="1" applyFont="1" applyFill="1" applyBorder="1" applyAlignment="1">
      <alignment horizontal="center" vertical="center"/>
    </xf>
    <xf numFmtId="164" fontId="11" fillId="11" borderId="44" xfId="0" applyNumberFormat="1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/>
    </xf>
    <xf numFmtId="0" fontId="26" fillId="7" borderId="5" xfId="0" applyFont="1" applyFill="1" applyBorder="1" applyAlignment="1">
      <alignment horizontal="center"/>
    </xf>
    <xf numFmtId="0" fontId="28" fillId="10" borderId="58" xfId="0" applyFont="1" applyFill="1" applyBorder="1" applyAlignment="1">
      <alignment horizontal="center"/>
    </xf>
    <xf numFmtId="0" fontId="28" fillId="10" borderId="57" xfId="0" applyFont="1" applyFill="1" applyBorder="1" applyAlignment="1">
      <alignment horizontal="center"/>
    </xf>
    <xf numFmtId="0" fontId="17" fillId="10" borderId="0" xfId="0" applyFont="1" applyFill="1" applyAlignment="1">
      <alignment horizontal="center"/>
    </xf>
    <xf numFmtId="0" fontId="65" fillId="11" borderId="24" xfId="0" applyFont="1" applyFill="1" applyBorder="1" applyAlignment="1">
      <alignment horizontal="center"/>
    </xf>
    <xf numFmtId="0" fontId="65" fillId="11" borderId="25" xfId="0" applyFont="1" applyFill="1" applyBorder="1" applyAlignment="1">
      <alignment horizontal="center"/>
    </xf>
    <xf numFmtId="0" fontId="65" fillId="11" borderId="26" xfId="0" applyFont="1" applyFill="1" applyBorder="1" applyAlignment="1">
      <alignment horizontal="center"/>
    </xf>
    <xf numFmtId="4" fontId="68" fillId="10" borderId="33" xfId="0" applyNumberFormat="1" applyFont="1" applyFill="1" applyBorder="1" applyAlignment="1">
      <alignment horizontal="center" vertical="center"/>
    </xf>
    <xf numFmtId="4" fontId="68" fillId="10" borderId="32" xfId="0" applyNumberFormat="1" applyFont="1" applyFill="1" applyBorder="1" applyAlignment="1">
      <alignment horizontal="center" vertical="center"/>
    </xf>
    <xf numFmtId="0" fontId="56" fillId="10" borderId="0" xfId="0" applyFont="1" applyFill="1" applyAlignment="1">
      <alignment horizontal="center"/>
    </xf>
    <xf numFmtId="0" fontId="17" fillId="10" borderId="0" xfId="0" applyFont="1" applyFill="1" applyAlignment="1">
      <alignment horizontal="center" vertical="center"/>
    </xf>
    <xf numFmtId="0" fontId="69" fillId="10" borderId="0" xfId="0" applyFont="1" applyFill="1" applyAlignment="1">
      <alignment horizontal="center" vertical="top"/>
    </xf>
    <xf numFmtId="0" fontId="24" fillId="11" borderId="2" xfId="0" applyFont="1" applyFill="1" applyBorder="1" applyAlignment="1">
      <alignment horizontal="center" vertical="center" wrapText="1"/>
    </xf>
    <xf numFmtId="0" fontId="24" fillId="11" borderId="54" xfId="0" applyFont="1" applyFill="1" applyBorder="1" applyAlignment="1">
      <alignment horizontal="center" vertical="center" wrapText="1"/>
    </xf>
    <xf numFmtId="0" fontId="74" fillId="10" borderId="41" xfId="1" applyFont="1" applyFill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center" vertical="center" wrapText="1"/>
    </xf>
    <xf numFmtId="0" fontId="28" fillId="2" borderId="25" xfId="0" applyFont="1" applyFill="1" applyBorder="1" applyAlignment="1">
      <alignment horizontal="center" vertical="center" wrapText="1"/>
    </xf>
    <xf numFmtId="0" fontId="28" fillId="2" borderId="26" xfId="0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center" vertical="center" wrapText="1"/>
    </xf>
    <xf numFmtId="0" fontId="28" fillId="5" borderId="25" xfId="0" applyFont="1" applyFill="1" applyBorder="1" applyAlignment="1">
      <alignment horizontal="center" vertical="center" wrapText="1"/>
    </xf>
    <xf numFmtId="0" fontId="28" fillId="5" borderId="26" xfId="0" applyFont="1" applyFill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57">
    <dxf>
      <font>
        <color rgb="FFFF0000"/>
      </font>
      <numFmt numFmtId="167" formatCode="0.0%"/>
    </dxf>
    <dxf>
      <font>
        <color rgb="FFFF0000"/>
      </font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solid">
          <fgColor indexed="64"/>
          <bgColor rgb="FF92D05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/>
      </font>
      <numFmt numFmtId="3" formatCode="#,##0"/>
    </dxf>
    <dxf>
      <font>
        <b/>
      </font>
      <numFmt numFmtId="3" formatCode="#,##0"/>
    </dxf>
    <dxf>
      <font>
        <b/>
      </font>
      <numFmt numFmtId="3" formatCode="#,##0"/>
    </dxf>
    <dxf>
      <font>
        <b/>
      </font>
      <numFmt numFmtId="3" formatCode="#,##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i/>
      </font>
      <numFmt numFmtId="3" formatCode="#,##0"/>
    </dxf>
    <dxf>
      <font>
        <i/>
        <color auto="1"/>
      </font>
      <numFmt numFmtId="3" formatCode="#,##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" formatCode="#,##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3" formatCode="#,##0"/>
    </dxf>
    <dxf>
      <font>
        <i/>
      </font>
      <numFmt numFmtId="3" formatCode="#,##0"/>
    </dxf>
    <dxf>
      <font>
        <i/>
      </font>
      <numFmt numFmtId="3" formatCode="#,##0"/>
    </dxf>
    <dxf>
      <font>
        <b/>
      </font>
      <numFmt numFmtId="3" formatCode="#,##0"/>
    </dxf>
    <dxf>
      <font>
        <b/>
      </font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ook Antiqua"/>
        <family val="1"/>
        <scheme val="none"/>
      </font>
      <numFmt numFmtId="4" formatCode="#,##0.00"/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ook Antiqua"/>
        <family val="1"/>
        <scheme val="none"/>
      </font>
      <numFmt numFmtId="3" formatCode="#,##0"/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ook Antiqua"/>
        <family val="1"/>
        <scheme val="none"/>
      </font>
      <numFmt numFmtId="3" formatCode="#,##0"/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ook Antiqua"/>
        <family val="1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theme="4" tint="0.3999755851924192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ook Antiqua"/>
        <family val="1"/>
        <scheme val="none"/>
      </font>
      <fill>
        <patternFill patternType="solid">
          <fgColor indexed="64"/>
          <bgColor theme="6" tint="0.5999938962981048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ook Antiqua"/>
        <family val="1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00B050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/>
        <strike val="0"/>
      </font>
      <fill>
        <patternFill patternType="solid">
          <bgColor rgb="FF00B050"/>
        </patternFill>
      </fill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ont>
        <color rgb="FF00B050"/>
      </font>
    </dxf>
  </dxfs>
  <tableStyles count="0" defaultTableStyle="TableStyleMedium2" defaultPivotStyle="PivotStyleLight16"/>
  <colors>
    <mruColors>
      <color rgb="FFFD23ED"/>
      <color rgb="FFFFD0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r>
              <a:rPr lang="de-DE">
                <a:solidFill>
                  <a:sysClr val="windowText" lastClr="000000"/>
                </a:solidFill>
              </a:rPr>
              <a:t>Aktueller Stand</a:t>
            </a:r>
          </a:p>
          <a:p>
            <a:pPr>
              <a:defRPr/>
            </a:pPr>
            <a:r>
              <a:rPr lang="de-DE">
                <a:solidFill>
                  <a:sysClr val="windowText" lastClr="000000"/>
                </a:solidFill>
              </a:rPr>
              <a:t>und Prognose €</a:t>
            </a:r>
          </a:p>
        </c:rich>
      </c:tx>
      <c:layout>
        <c:manualLayout>
          <c:xMode val="edge"/>
          <c:yMode val="edge"/>
          <c:x val="2.5078437164504478E-2"/>
          <c:y val="2.4368247164925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3.0805541273050116E-2"/>
          <c:y val="0.13302647214380406"/>
          <c:w val="0.8597564327361924"/>
          <c:h val="0.80197029954597598"/>
        </c:manualLayout>
      </c:layout>
      <c:lineChart>
        <c:grouping val="standard"/>
        <c:varyColors val="0"/>
        <c:ser>
          <c:idx val="1"/>
          <c:order val="0"/>
          <c:tx>
            <c:v>€ Werkzeuge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'Schleichender Verfall'!$D$139:$D$160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'Schleichender Verfall'!$N$139:$N$160</c:f>
              <c:numCache>
                <c:formatCode>#,##0\ "€"</c:formatCode>
                <c:ptCount val="22"/>
                <c:pt idx="0" formatCode="General">
                  <c:v>0</c:v>
                </c:pt>
                <c:pt idx="1">
                  <c:v>43437</c:v>
                </c:pt>
                <c:pt idx="2">
                  <c:v>49522</c:v>
                </c:pt>
                <c:pt idx="3">
                  <c:v>53901</c:v>
                </c:pt>
                <c:pt idx="4">
                  <c:v>59963</c:v>
                </c:pt>
                <c:pt idx="5">
                  <c:v>63115</c:v>
                </c:pt>
                <c:pt idx="6">
                  <c:v>65148</c:v>
                </c:pt>
                <c:pt idx="7">
                  <c:v>69623</c:v>
                </c:pt>
                <c:pt idx="8">
                  <c:v>72783</c:v>
                </c:pt>
                <c:pt idx="9">
                  <c:v>76597</c:v>
                </c:pt>
                <c:pt idx="10">
                  <c:v>81327</c:v>
                </c:pt>
                <c:pt idx="11">
                  <c:v>83062</c:v>
                </c:pt>
                <c:pt idx="12">
                  <c:v>86154</c:v>
                </c:pt>
                <c:pt idx="13">
                  <c:v>89062</c:v>
                </c:pt>
                <c:pt idx="14">
                  <c:v>93109</c:v>
                </c:pt>
                <c:pt idx="15">
                  <c:v>97466</c:v>
                </c:pt>
                <c:pt idx="16">
                  <c:v>103452</c:v>
                </c:pt>
                <c:pt idx="17">
                  <c:v>109547</c:v>
                </c:pt>
                <c:pt idx="18">
                  <c:v>115420</c:v>
                </c:pt>
                <c:pt idx="19">
                  <c:v>123542</c:v>
                </c:pt>
                <c:pt idx="20">
                  <c:v>130324</c:v>
                </c:pt>
                <c:pt idx="21">
                  <c:v>170541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A52-48EC-BA19-7C3524606F78}"/>
            </c:ext>
          </c:extLst>
        </c:ser>
        <c:ser>
          <c:idx val="5"/>
          <c:order val="2"/>
          <c:tx>
            <c:v>€ Sonnenküste</c:v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val>
            <c:numRef>
              <c:f>'Schleichender Verfall'!$L$139:$L$160</c:f>
              <c:numCache>
                <c:formatCode>#,##0\ "€"</c:formatCode>
                <c:ptCount val="22"/>
                <c:pt idx="0">
                  <c:v>0</c:v>
                </c:pt>
                <c:pt idx="1">
                  <c:v>89735</c:v>
                </c:pt>
                <c:pt idx="2">
                  <c:v>114003</c:v>
                </c:pt>
                <c:pt idx="3">
                  <c:v>122519</c:v>
                </c:pt>
                <c:pt idx="4">
                  <c:v>127604</c:v>
                </c:pt>
                <c:pt idx="5">
                  <c:v>131274</c:v>
                </c:pt>
                <c:pt idx="6">
                  <c:v>135593</c:v>
                </c:pt>
                <c:pt idx="7">
                  <c:v>147297</c:v>
                </c:pt>
                <c:pt idx="8">
                  <c:v>154154</c:v>
                </c:pt>
                <c:pt idx="9">
                  <c:v>158642</c:v>
                </c:pt>
                <c:pt idx="10">
                  <c:v>163194</c:v>
                </c:pt>
                <c:pt idx="11">
                  <c:v>166405</c:v>
                </c:pt>
                <c:pt idx="12">
                  <c:v>169780</c:v>
                </c:pt>
                <c:pt idx="13">
                  <c:v>172436</c:v>
                </c:pt>
                <c:pt idx="14">
                  <c:v>176629</c:v>
                </c:pt>
                <c:pt idx="15">
                  <c:v>188273</c:v>
                </c:pt>
                <c:pt idx="16">
                  <c:v>193264</c:v>
                </c:pt>
                <c:pt idx="17">
                  <c:v>198261</c:v>
                </c:pt>
                <c:pt idx="18">
                  <c:v>203119</c:v>
                </c:pt>
                <c:pt idx="19">
                  <c:v>212186</c:v>
                </c:pt>
                <c:pt idx="20">
                  <c:v>220897</c:v>
                </c:pt>
                <c:pt idx="21">
                  <c:v>239188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03C-4FCE-9797-1D2BDC224990}"/>
            </c:ext>
          </c:extLst>
        </c:ser>
        <c:ser>
          <c:idx val="6"/>
          <c:order val="3"/>
          <c:tx>
            <c:v>€ Rohals Erben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'Schleichender Verfall'!$J$139:$J$160</c:f>
              <c:numCache>
                <c:formatCode>#,##0\ "€"</c:formatCode>
                <c:ptCount val="22"/>
                <c:pt idx="0">
                  <c:v>0</c:v>
                </c:pt>
                <c:pt idx="1">
                  <c:v>82966</c:v>
                </c:pt>
                <c:pt idx="2">
                  <c:v>96328</c:v>
                </c:pt>
                <c:pt idx="3">
                  <c:v>115147</c:v>
                </c:pt>
                <c:pt idx="4">
                  <c:v>123834</c:v>
                </c:pt>
                <c:pt idx="5">
                  <c:v>132002</c:v>
                </c:pt>
                <c:pt idx="6">
                  <c:v>150957</c:v>
                </c:pt>
                <c:pt idx="7">
                  <c:v>164491</c:v>
                </c:pt>
                <c:pt idx="8">
                  <c:v>182858</c:v>
                </c:pt>
                <c:pt idx="9">
                  <c:v>195000</c:v>
                </c:pt>
                <c:pt idx="10">
                  <c:v>203877</c:v>
                </c:pt>
                <c:pt idx="11">
                  <c:v>212794</c:v>
                </c:pt>
                <c:pt idx="12">
                  <c:v>221864</c:v>
                </c:pt>
                <c:pt idx="13">
                  <c:v>229701</c:v>
                </c:pt>
                <c:pt idx="14">
                  <c:v>240791</c:v>
                </c:pt>
                <c:pt idx="15">
                  <c:v>249000</c:v>
                </c:pt>
                <c:pt idx="16">
                  <c:v>257666</c:v>
                </c:pt>
                <c:pt idx="17">
                  <c:v>268894</c:v>
                </c:pt>
                <c:pt idx="18">
                  <c:v>280832</c:v>
                </c:pt>
                <c:pt idx="19">
                  <c:v>299641</c:v>
                </c:pt>
                <c:pt idx="20">
                  <c:v>330836</c:v>
                </c:pt>
                <c:pt idx="21">
                  <c:v>389236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7548-45C9-B38A-CB105D0ADEAD}"/>
            </c:ext>
          </c:extLst>
        </c:ser>
        <c:ser>
          <c:idx val="9"/>
          <c:order val="4"/>
          <c:tx>
            <c:v>€ Gunst der Göttin</c:v>
          </c:tx>
          <c:spPr>
            <a:ln w="28575" cap="rnd">
              <a:solidFill>
                <a:srgbClr val="FD23E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D23ED"/>
              </a:solidFill>
              <a:ln w="9525">
                <a:solidFill>
                  <a:srgbClr val="FD23ED"/>
                </a:solidFill>
              </a:ln>
              <a:effectLst/>
            </c:spPr>
          </c:marker>
          <c:val>
            <c:numRef>
              <c:f>'Schleichender Verfall'!$M$139:$M$160</c:f>
              <c:numCache>
                <c:formatCode>#,##0\ "€"</c:formatCode>
                <c:ptCount val="22"/>
                <c:pt idx="0">
                  <c:v>0</c:v>
                </c:pt>
                <c:pt idx="1">
                  <c:v>76466</c:v>
                </c:pt>
                <c:pt idx="2">
                  <c:v>100197</c:v>
                </c:pt>
                <c:pt idx="3">
                  <c:v>110488</c:v>
                </c:pt>
                <c:pt idx="4">
                  <c:v>117325</c:v>
                </c:pt>
                <c:pt idx="5">
                  <c:v>120368</c:v>
                </c:pt>
                <c:pt idx="6">
                  <c:v>123198</c:v>
                </c:pt>
                <c:pt idx="7">
                  <c:v>126713</c:v>
                </c:pt>
                <c:pt idx="8">
                  <c:v>130050</c:v>
                </c:pt>
                <c:pt idx="9">
                  <c:v>133215</c:v>
                </c:pt>
                <c:pt idx="10">
                  <c:v>136715</c:v>
                </c:pt>
                <c:pt idx="11">
                  <c:v>139670</c:v>
                </c:pt>
                <c:pt idx="12">
                  <c:v>143057</c:v>
                </c:pt>
                <c:pt idx="13">
                  <c:v>149744</c:v>
                </c:pt>
                <c:pt idx="14">
                  <c:v>155980</c:v>
                </c:pt>
                <c:pt idx="15">
                  <c:v>165152</c:v>
                </c:pt>
                <c:pt idx="16">
                  <c:v>174081</c:v>
                </c:pt>
                <c:pt idx="17">
                  <c:v>181054</c:v>
                </c:pt>
                <c:pt idx="18">
                  <c:v>187527</c:v>
                </c:pt>
                <c:pt idx="19">
                  <c:v>197700</c:v>
                </c:pt>
                <c:pt idx="20">
                  <c:v>205967</c:v>
                </c:pt>
                <c:pt idx="21">
                  <c:v>231697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660C-4266-B083-99FD9BCBA2F4}"/>
            </c:ext>
          </c:extLst>
        </c:ser>
        <c:ser>
          <c:idx val="10"/>
          <c:order val="5"/>
          <c:tx>
            <c:v>€ DSK: Fasar</c:v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val>
            <c:numRef>
              <c:f>'Schleichender Verfall'!$I$139:$I$160</c:f>
              <c:numCache>
                <c:formatCode>#,##0\ "€"</c:formatCode>
                <c:ptCount val="22"/>
                <c:pt idx="0">
                  <c:v>0</c:v>
                </c:pt>
                <c:pt idx="1">
                  <c:v>36402</c:v>
                </c:pt>
                <c:pt idx="2">
                  <c:v>42659</c:v>
                </c:pt>
                <c:pt idx="3">
                  <c:v>45273</c:v>
                </c:pt>
                <c:pt idx="4">
                  <c:v>47957</c:v>
                </c:pt>
                <c:pt idx="5">
                  <c:v>50763</c:v>
                </c:pt>
                <c:pt idx="6">
                  <c:v>53829</c:v>
                </c:pt>
                <c:pt idx="7">
                  <c:v>55981</c:v>
                </c:pt>
                <c:pt idx="8">
                  <c:v>58795</c:v>
                </c:pt>
                <c:pt idx="9">
                  <c:v>63300</c:v>
                </c:pt>
                <c:pt idx="10">
                  <c:v>66650</c:v>
                </c:pt>
                <c:pt idx="11">
                  <c:v>69668</c:v>
                </c:pt>
                <c:pt idx="12">
                  <c:v>71286</c:v>
                </c:pt>
                <c:pt idx="13">
                  <c:v>74079</c:v>
                </c:pt>
                <c:pt idx="14">
                  <c:v>75411</c:v>
                </c:pt>
                <c:pt idx="15">
                  <c:v>77016</c:v>
                </c:pt>
                <c:pt idx="16">
                  <c:v>80049</c:v>
                </c:pt>
                <c:pt idx="17">
                  <c:v>86833</c:v>
                </c:pt>
                <c:pt idx="18">
                  <c:v>91974</c:v>
                </c:pt>
                <c:pt idx="19">
                  <c:v>101170</c:v>
                </c:pt>
                <c:pt idx="20">
                  <c:v>108862</c:v>
                </c:pt>
                <c:pt idx="21">
                  <c:v>123868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660C-4266-B083-99FD9BCBA2F4}"/>
            </c:ext>
          </c:extLst>
        </c:ser>
        <c:ser>
          <c:idx val="2"/>
          <c:order val="6"/>
          <c:tx>
            <c:v>€ Erste Schätzung max.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'Schleichender Verfall'!$D$139:$D$160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'Schleichender Verfall'!$H$139:$H$160</c:f>
              <c:numCache>
                <c:formatCode>#,##0\ "€"</c:formatCode>
                <c:ptCount val="22"/>
                <c:pt idx="0">
                  <c:v>0</c:v>
                </c:pt>
                <c:pt idx="1">
                  <c:v>26725</c:v>
                </c:pt>
                <c:pt idx="2">
                  <c:v>32416</c:v>
                </c:pt>
                <c:pt idx="3">
                  <c:v>38191</c:v>
                </c:pt>
                <c:pt idx="4">
                  <c:v>42398.143601846597</c:v>
                </c:pt>
                <c:pt idx="5">
                  <c:v>45434.567794329785</c:v>
                </c:pt>
                <c:pt idx="6">
                  <c:v>49007.950924393786</c:v>
                </c:pt>
                <c:pt idx="7">
                  <c:v>58691.413798732538</c:v>
                </c:pt>
                <c:pt idx="8">
                  <c:v>64364.645593788999</c:v>
                </c:pt>
                <c:pt idx="9">
                  <c:v>68077.853162144456</c:v>
                </c:pt>
                <c:pt idx="10">
                  <c:v>71844.011997071837</c:v>
                </c:pt>
                <c:pt idx="11">
                  <c:v>74500.67632460958</c:v>
                </c:pt>
                <c:pt idx="12">
                  <c:v>77293.028272737851</c:v>
                </c:pt>
                <c:pt idx="13">
                  <c:v>79490.505835472271</c:v>
                </c:pt>
                <c:pt idx="14">
                  <c:v>82959.641159472812</c:v>
                </c:pt>
                <c:pt idx="15">
                  <c:v>92593.462221400405</c:v>
                </c:pt>
                <c:pt idx="16">
                  <c:v>96722.833650469503</c:v>
                </c:pt>
                <c:pt idx="17">
                  <c:v>100857.16926077972</c:v>
                </c:pt>
                <c:pt idx="18">
                  <c:v>104876.50133900405</c:v>
                </c:pt>
                <c:pt idx="19">
                  <c:v>112378.20655787192</c:v>
                </c:pt>
                <c:pt idx="20">
                  <c:v>119585.37035643352</c:v>
                </c:pt>
                <c:pt idx="21">
                  <c:v>134718.67686997849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92E9-44F5-946D-8A216D011837}"/>
            </c:ext>
          </c:extLst>
        </c:ser>
        <c:ser>
          <c:idx val="3"/>
          <c:order val="7"/>
          <c:tx>
            <c:v>€ Erste Schätzung min.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'Schleichender Verfall'!$D$139:$D$160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'Schleichender Verfall'!$G$139:$G$160</c:f>
              <c:numCache>
                <c:formatCode>#,##0\ "€"</c:formatCode>
                <c:ptCount val="22"/>
                <c:pt idx="0">
                  <c:v>0</c:v>
                </c:pt>
                <c:pt idx="1">
                  <c:v>26725</c:v>
                </c:pt>
                <c:pt idx="2">
                  <c:v>32416</c:v>
                </c:pt>
                <c:pt idx="3">
                  <c:v>38191</c:v>
                </c:pt>
                <c:pt idx="4">
                  <c:v>39740.828873009377</c:v>
                </c:pt>
                <c:pt idx="5">
                  <c:v>40546.678527863478</c:v>
                </c:pt>
                <c:pt idx="6">
                  <c:v>41066.441328725909</c:v>
                </c:pt>
                <c:pt idx="7">
                  <c:v>42210.533081731017</c:v>
                </c:pt>
                <c:pt idx="8">
                  <c:v>43018.428040277642</c:v>
                </c:pt>
                <c:pt idx="9">
                  <c:v>43993.526575688025</c:v>
                </c:pt>
                <c:pt idx="10">
                  <c:v>45202.812383892306</c:v>
                </c:pt>
                <c:pt idx="11">
                  <c:v>45646.387622208254</c:v>
                </c:pt>
                <c:pt idx="12">
                  <c:v>46436.897499368431</c:v>
                </c:pt>
                <c:pt idx="13">
                  <c:v>47180.365391600579</c:v>
                </c:pt>
                <c:pt idx="14">
                  <c:v>48215.033397055697</c:v>
                </c:pt>
                <c:pt idx="15">
                  <c:v>49328.956920596087</c:v>
                </c:pt>
                <c:pt idx="16">
                  <c:v>50859.355408526491</c:v>
                </c:pt>
                <c:pt idx="17">
                  <c:v>52417.621159267524</c:v>
                </c:pt>
                <c:pt idx="18">
                  <c:v>53919.129732541041</c:v>
                </c:pt>
                <c:pt idx="19">
                  <c:v>55995.624306375117</c:v>
                </c:pt>
                <c:pt idx="20">
                  <c:v>57729.530511711571</c:v>
                </c:pt>
                <c:pt idx="21">
                  <c:v>68011.527836986745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92E9-44F5-946D-8A216D011837}"/>
            </c:ext>
          </c:extLst>
        </c:ser>
        <c:ser>
          <c:idx val="0"/>
          <c:order val="10"/>
          <c:tx>
            <c:v>€ DSK: Schleichender Verfall</c:v>
          </c:tx>
          <c:spPr>
            <a:ln w="28575" cap="rnd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C-7548-45C9-B38A-CB105D0ADEAD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D-7548-45C9-B38A-CB105D0ADEAD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E-7548-45C9-B38A-CB105D0ADEAD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703C-4FCE-9797-1D2BDC224990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703C-4FCE-9797-1D2BDC224990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703C-4FCE-9797-1D2BDC224990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703C-4FCE-9797-1D2BDC224990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703C-4FCE-9797-1D2BDC224990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703C-4FCE-9797-1D2BDC224990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703C-4FCE-9797-1D2BDC224990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703C-4FCE-9797-1D2BDC224990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703C-4FCE-9797-1D2BDC224990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703C-4FCE-9797-1D2BDC224990}"/>
              </c:ext>
            </c:extLst>
          </c:dPt>
          <c:dPt>
            <c:idx val="14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703C-4FCE-9797-1D2BDC224990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703C-4FCE-9797-1D2BDC224990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703C-4FCE-9797-1D2BDC224990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703C-4FCE-9797-1D2BDC224990}"/>
              </c:ext>
            </c:extLst>
          </c:dPt>
          <c:dPt>
            <c:idx val="18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703C-4FCE-9797-1D2BDC224990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703C-4FCE-9797-1D2BDC224990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703C-4FCE-9797-1D2BDC224990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703C-4FCE-9797-1D2BDC224990}"/>
              </c:ext>
            </c:extLst>
          </c:dPt>
          <c:dPt>
            <c:idx val="22"/>
            <c:marker>
              <c:symbol val="diamond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B-92E9-44F5-946D-8A216D011837}"/>
              </c:ext>
            </c:extLst>
          </c:dPt>
          <c:dPt>
            <c:idx val="23"/>
            <c:marker>
              <c:symbol val="diamond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D-92E9-44F5-946D-8A216D011837}"/>
              </c:ext>
            </c:extLst>
          </c:dPt>
          <c:dPt>
            <c:idx val="24"/>
            <c:marker>
              <c:symbol val="diamond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F-92E9-44F5-946D-8A216D011837}"/>
              </c:ext>
            </c:extLst>
          </c:dPt>
          <c:dPt>
            <c:idx val="25"/>
            <c:marker>
              <c:symbol val="diamond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1-92E9-44F5-946D-8A216D011837}"/>
              </c:ext>
            </c:extLst>
          </c:dPt>
          <c:cat>
            <c:numRef>
              <c:f>'Schleichender Verfall'!$D$139:$D$160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'Schleichender Verfall'!$F$139:$F$160</c:f>
              <c:numCache>
                <c:formatCode>#,##0\ "€"</c:formatCode>
                <c:ptCount val="22"/>
                <c:pt idx="0">
                  <c:v>0</c:v>
                </c:pt>
                <c:pt idx="1">
                  <c:v>26725</c:v>
                </c:pt>
                <c:pt idx="2">
                  <c:v>32416</c:v>
                </c:pt>
                <c:pt idx="3">
                  <c:v>38191</c:v>
                </c:pt>
                <c:pt idx="4">
                  <c:v>41597</c:v>
                </c:pt>
                <c:pt idx="5">
                  <c:v>44358</c:v>
                </c:pt>
                <c:pt idx="6">
                  <c:v>45558</c:v>
                </c:pt>
                <c:pt idx="7">
                  <c:v>50019</c:v>
                </c:pt>
                <c:pt idx="8">
                  <c:v>54482</c:v>
                </c:pt>
                <c:pt idx="9">
                  <c:v>60464</c:v>
                </c:pt>
                <c:pt idx="10">
                  <c:v>62608</c:v>
                </c:pt>
                <c:pt idx="11">
                  <c:v>63707</c:v>
                </c:pt>
                <c:pt idx="12">
                  <c:v>66094</c:v>
                </c:pt>
                <c:pt idx="13">
                  <c:v>68288</c:v>
                </c:pt>
                <c:pt idx="14">
                  <c:v>71648</c:v>
                </c:pt>
                <c:pt idx="15">
                  <c:v>75191</c:v>
                </c:pt>
                <c:pt idx="16">
                  <c:v>78668</c:v>
                </c:pt>
                <c:pt idx="17">
                  <c:v>83940</c:v>
                </c:pt>
                <c:pt idx="18">
                  <c:v>87091</c:v>
                </c:pt>
                <c:pt idx="19">
                  <c:v>91598</c:v>
                </c:pt>
                <c:pt idx="20">
                  <c:v>99702</c:v>
                </c:pt>
                <c:pt idx="21">
                  <c:v>115733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92E9-44F5-946D-8A216D011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141632"/>
        <c:axId val="514139008"/>
        <c:extLst>
          <c:ext xmlns:c15="http://schemas.microsoft.com/office/drawing/2012/chart" uri="{02D57815-91ED-43cb-92C2-25804820EDAC}">
            <c15:filteredLineSeries>
              <c15:ser>
                <c:idx val="4"/>
                <c:order val="1"/>
                <c:tx>
                  <c:v>€ Thorwal</c:v>
                </c:tx>
                <c:spPr>
                  <a:ln w="28575" cap="rnd">
                    <a:solidFill>
                      <a:srgbClr val="7030A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7030A0"/>
                    </a:solidFill>
                    <a:ln w="9525">
                      <a:solidFill>
                        <a:srgbClr val="7030A0"/>
                      </a:solidFill>
                    </a:ln>
                    <a:effectLst/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'Schleichender Verfall'!$K$139:$K$160</c15:sqref>
                        </c15:formulaRef>
                      </c:ext>
                    </c:extLst>
                    <c:numCache>
                      <c:formatCode>#,##0\ "€"</c:formatCode>
                      <c:ptCount val="22"/>
                      <c:pt idx="0" formatCode="General">
                        <c:v>0</c:v>
                      </c:pt>
                      <c:pt idx="2">
                        <c:v>65000</c:v>
                      </c:pt>
                      <c:pt idx="12">
                        <c:v>125000</c:v>
                      </c:pt>
                      <c:pt idx="21">
                        <c:v>266116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2F-3B7C-46DC-8092-36A582ED1EEC}"/>
                  </c:ext>
                </c:extLst>
              </c15:ser>
            </c15:filteredLineSeries>
            <c15:filteredLineSeries>
              <c15:ser>
                <c:idx val="7"/>
                <c:order val="8"/>
                <c:tx>
                  <c:v>€ Prognose max.</c:v>
                </c:tx>
                <c:spPr>
                  <a:ln w="28575" cap="rnd">
                    <a:solidFill>
                      <a:srgbClr val="00B050"/>
                    </a:solidFill>
                    <a:prstDash val="sysDot"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B050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'Schleichender Verfall'!$Q$139:$Q$160</c15:sqref>
                        </c15:formulaRef>
                      </c:ext>
                    </c:extLst>
                    <c:numCache>
                      <c:formatCode>#,##0\ "€"</c:formatCode>
                      <c:ptCount val="2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2-104F-43A6-8140-3A9161B54F64}"/>
                  </c:ext>
                </c:extLst>
              </c15:ser>
            </c15:filteredLineSeries>
            <c15:filteredLineSeries>
              <c15:ser>
                <c:idx val="8"/>
                <c:order val="9"/>
                <c:tx>
                  <c:v>€ Prognose min.</c:v>
                </c:tx>
                <c:spPr>
                  <a:ln w="28575" cap="rnd">
                    <a:solidFill>
                      <a:srgbClr val="FF0000"/>
                    </a:solidFill>
                    <a:prstDash val="sysDot"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F0000"/>
                    </a:solidFill>
                    <a:ln w="9525">
                      <a:solidFill>
                        <a:srgbClr val="FF0000"/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'Schleichender Verfall'!$P$139:$P$160</c15:sqref>
                        </c15:formulaRef>
                      </c:ext>
                    </c:extLst>
                    <c:numCache>
                      <c:formatCode>#,##0\ "€"</c:formatCode>
                      <c:ptCount val="2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104F-43A6-8140-3A9161B54F64}"/>
                  </c:ext>
                </c:extLst>
              </c15:ser>
            </c15:filteredLineSeries>
          </c:ext>
        </c:extLst>
      </c:lineChart>
      <c:catAx>
        <c:axId val="51414163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de-DE"/>
          </a:p>
        </c:txPr>
        <c:crossAx val="514139008"/>
        <c:crosses val="autoZero"/>
        <c:auto val="0"/>
        <c:lblAlgn val="ctr"/>
        <c:lblOffset val="100"/>
        <c:noMultiLvlLbl val="0"/>
      </c:catAx>
      <c:valAx>
        <c:axId val="514139008"/>
        <c:scaling>
          <c:orientation val="minMax"/>
          <c:max val="1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\ &quot;T€&quot;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de-DE"/>
          </a:p>
        </c:txPr>
        <c:crossAx val="514141632"/>
        <c:crossesAt val="43874"/>
        <c:crossBetween val="midCat"/>
        <c:majorUnit val="5000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0195507066379303"/>
          <c:y val="7.5604929793808831E-3"/>
          <c:w val="0.79213273680686336"/>
          <c:h val="0.117677230796705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Book Antiqua" panose="0204060205030503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'Schleichender Verfall'!$BY$164</c:f>
              <c:strCache>
                <c:ptCount val="1"/>
                <c:pt idx="0">
                  <c:v>AML (€/kum)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'Schleichender Verfall'!$BY$166:$BY$183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'Schleichender Verfall'!$AY$166:$AY$183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85AD-4B0F-940D-184573DF9252}"/>
            </c:ext>
          </c:extLst>
        </c:ser>
        <c:ser>
          <c:idx val="3"/>
          <c:order val="1"/>
          <c:tx>
            <c:strRef>
              <c:f>'Schleichender Verfall'!$CA$164</c:f>
              <c:strCache>
                <c:ptCount val="1"/>
                <c:pt idx="0">
                  <c:v>AML (B/kum)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'Schleichender Verfall'!$CA$166:$CA$183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'Schleichender Verfall'!$AY$166:$AY$183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85AD-4B0F-940D-184573DF9252}"/>
            </c:ext>
          </c:extLst>
        </c:ser>
        <c:ser>
          <c:idx val="5"/>
          <c:order val="2"/>
          <c:tx>
            <c:strRef>
              <c:f>'Schleichender Verfall'!$CC$164</c:f>
              <c:strCache>
                <c:ptCount val="1"/>
                <c:pt idx="0">
                  <c:v>DSK (€/kum)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'Schleichender Verfall'!$CC$166:$CC$183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'Schleichender Verfall'!$AY$166:$AY$183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85AD-4B0F-940D-184573DF9252}"/>
            </c:ext>
          </c:extLst>
        </c:ser>
        <c:ser>
          <c:idx val="7"/>
          <c:order val="3"/>
          <c:tx>
            <c:strRef>
              <c:f>'Schleichender Verfall'!$CE$164</c:f>
              <c:strCache>
                <c:ptCount val="1"/>
                <c:pt idx="0">
                  <c:v>DSK (B/kum)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'Schleichender Verfall'!$CE$166:$CE$183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'Schleichender Verfall'!$AY$166:$AY$183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85AD-4B0F-940D-184573DF9252}"/>
            </c:ext>
          </c:extLst>
        </c:ser>
        <c:ser>
          <c:idx val="9"/>
          <c:order val="4"/>
          <c:tx>
            <c:strRef>
              <c:f>'Schleichender Verfall'!$CG$164</c:f>
              <c:strCache>
                <c:ptCount val="1"/>
                <c:pt idx="0">
                  <c:v>WM (€/kum)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'Schleichender Verfall'!$CG$166:$CG$183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'Schleichender Verfall'!$AY$166:$AY$183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85AD-4B0F-940D-184573DF9252}"/>
            </c:ext>
          </c:extLst>
        </c:ser>
        <c:ser>
          <c:idx val="11"/>
          <c:order val="5"/>
          <c:tx>
            <c:strRef>
              <c:f>'Schleichender Verfall'!$CI$164</c:f>
              <c:strCache>
                <c:ptCount val="1"/>
                <c:pt idx="0">
                  <c:v>WM (B/kum)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'Schleichender Verfall'!$CI$166:$CI$183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'Schleichender Verfall'!$AY$166:$AY$183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B-85AD-4B0F-940D-184573DF9252}"/>
            </c:ext>
          </c:extLst>
        </c:ser>
        <c:ser>
          <c:idx val="14"/>
          <c:order val="6"/>
          <c:tx>
            <c:strRef>
              <c:f>'Schleichender Verfall'!$CL$164</c:f>
              <c:strCache>
                <c:ptCount val="1"/>
                <c:pt idx="0">
                  <c:v>ANB (€/kum)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'Schleichender Verfall'!$CL$166:$CL$183</c:f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'Schleichender Verfall'!$AY$166:$AY$183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E-85AD-4B0F-940D-184573DF9252}"/>
            </c:ext>
          </c:extLst>
        </c:ser>
        <c:ser>
          <c:idx val="0"/>
          <c:order val="7"/>
          <c:tx>
            <c:strRef>
              <c:f>'Schleichender Verfall'!$CN$164</c:f>
              <c:strCache>
                <c:ptCount val="1"/>
                <c:pt idx="0">
                  <c:v>ANB (B/kum)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'Schleichender Verfall'!$CN$166:$CN$183</c:f>
            </c:numRef>
          </c:val>
          <c:smooth val="0"/>
          <c:extLst>
            <c:ext xmlns:c16="http://schemas.microsoft.com/office/drawing/2014/chart" uri="{C3380CC4-5D6E-409C-BE32-E72D297353CC}">
              <c16:uniqueId val="{00000011-85AD-4B0F-940D-184573DF9252}"/>
            </c:ext>
          </c:extLst>
        </c:ser>
        <c:ser>
          <c:idx val="2"/>
          <c:order val="8"/>
          <c:tx>
            <c:v>SOK (€/kum)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'Schleichender Verfall'!$BU$166:$BU$183</c:f>
            </c:numRef>
          </c:val>
          <c:smooth val="0"/>
          <c:extLst>
            <c:ext xmlns:c16="http://schemas.microsoft.com/office/drawing/2014/chart" uri="{C3380CC4-5D6E-409C-BE32-E72D297353CC}">
              <c16:uniqueId val="{00000002-D0D2-4EA0-895C-0485D4383196}"/>
            </c:ext>
          </c:extLst>
        </c:ser>
        <c:ser>
          <c:idx val="4"/>
          <c:order val="9"/>
          <c:tx>
            <c:v>SOK (B/kum)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'Schleichender Verfall'!$BW$166:$BW$183</c:f>
            </c:numRef>
          </c:val>
          <c:smooth val="0"/>
          <c:extLst>
            <c:ext xmlns:c16="http://schemas.microsoft.com/office/drawing/2014/chart" uri="{C3380CC4-5D6E-409C-BE32-E72D297353CC}">
              <c16:uniqueId val="{00000003-D0D2-4EA0-895C-0485D4383196}"/>
            </c:ext>
          </c:extLst>
        </c:ser>
        <c:ser>
          <c:idx val="6"/>
          <c:order val="10"/>
          <c:tx>
            <c:strRef>
              <c:f>'Schleichender Verfall'!$BM$164</c:f>
              <c:strCache>
                <c:ptCount val="1"/>
                <c:pt idx="0">
                  <c:v>RE (€/kum)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'Schleichender Verfall'!$BM$166:$BM$183</c:f>
            </c:numRef>
          </c:val>
          <c:smooth val="0"/>
          <c:extLst>
            <c:ext xmlns:c16="http://schemas.microsoft.com/office/drawing/2014/chart" uri="{C3380CC4-5D6E-409C-BE32-E72D297353CC}">
              <c16:uniqueId val="{00000001-518E-4C7B-B4E5-A647E746FC25}"/>
            </c:ext>
          </c:extLst>
        </c:ser>
        <c:ser>
          <c:idx val="8"/>
          <c:order val="11"/>
          <c:tx>
            <c:strRef>
              <c:f>'Schleichender Verfall'!$BO$164</c:f>
              <c:strCache>
                <c:ptCount val="1"/>
                <c:pt idx="0">
                  <c:v>RE (B/kum)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'Schleichender Verfall'!$BO$166:$BO$183</c:f>
            </c:numRef>
          </c:val>
          <c:smooth val="0"/>
          <c:extLst>
            <c:ext xmlns:c16="http://schemas.microsoft.com/office/drawing/2014/chart" uri="{C3380CC4-5D6E-409C-BE32-E72D297353CC}">
              <c16:uniqueId val="{00000002-518E-4C7B-B4E5-A647E746F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804584"/>
        <c:axId val="721798024"/>
      </c:lineChart>
      <c:catAx>
        <c:axId val="721804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1798024"/>
        <c:crosses val="autoZero"/>
        <c:auto val="1"/>
        <c:lblAlgn val="ctr"/>
        <c:lblOffset val="100"/>
        <c:noMultiLvlLbl val="0"/>
      </c:catAx>
      <c:valAx>
        <c:axId val="7217980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1804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r>
              <a:rPr lang="de-DE">
                <a:solidFill>
                  <a:sysClr val="windowText" lastClr="000000"/>
                </a:solidFill>
              </a:rPr>
              <a:t>Aktueller Stand</a:t>
            </a:r>
          </a:p>
          <a:p>
            <a:pPr>
              <a:defRPr/>
            </a:pPr>
            <a:r>
              <a:rPr lang="de-DE">
                <a:solidFill>
                  <a:sysClr val="windowText" lastClr="000000"/>
                </a:solidFill>
              </a:rPr>
              <a:t>und Prognose Backer</a:t>
            </a:r>
          </a:p>
        </c:rich>
      </c:tx>
      <c:layout>
        <c:manualLayout>
          <c:xMode val="edge"/>
          <c:yMode val="edge"/>
          <c:x val="1.1117300339680791E-2"/>
          <c:y val="2.0589631132206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3.0805541273050116E-2"/>
          <c:y val="0.13162305931180232"/>
          <c:w val="0.8597564327361924"/>
          <c:h val="0.80082603243445105"/>
        </c:manualLayout>
      </c:layout>
      <c:lineChart>
        <c:grouping val="standard"/>
        <c:varyColors val="0"/>
        <c:ser>
          <c:idx val="1"/>
          <c:order val="0"/>
          <c:tx>
            <c:v>Backer Werkzeuge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'Schleichender Verfall'!$D$139:$D$160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'Schleichender Verfall'!$N$164:$N$185</c:f>
              <c:numCache>
                <c:formatCode>#,##0</c:formatCode>
                <c:ptCount val="22"/>
                <c:pt idx="0">
                  <c:v>0</c:v>
                </c:pt>
                <c:pt idx="1">
                  <c:v>179</c:v>
                </c:pt>
                <c:pt idx="2">
                  <c:v>206</c:v>
                </c:pt>
                <c:pt idx="3">
                  <c:v>224</c:v>
                </c:pt>
                <c:pt idx="4">
                  <c:v>247</c:v>
                </c:pt>
                <c:pt idx="5">
                  <c:v>264</c:v>
                </c:pt>
                <c:pt idx="6">
                  <c:v>274</c:v>
                </c:pt>
                <c:pt idx="7">
                  <c:v>295</c:v>
                </c:pt>
                <c:pt idx="8">
                  <c:v>308</c:v>
                </c:pt>
                <c:pt idx="9">
                  <c:v>329</c:v>
                </c:pt>
                <c:pt idx="10">
                  <c:v>350</c:v>
                </c:pt>
                <c:pt idx="11">
                  <c:v>356</c:v>
                </c:pt>
                <c:pt idx="12">
                  <c:v>371</c:v>
                </c:pt>
                <c:pt idx="13">
                  <c:v>386</c:v>
                </c:pt>
                <c:pt idx="14">
                  <c:v>403</c:v>
                </c:pt>
                <c:pt idx="15">
                  <c:v>422</c:v>
                </c:pt>
                <c:pt idx="16">
                  <c:v>445</c:v>
                </c:pt>
                <c:pt idx="17">
                  <c:v>471</c:v>
                </c:pt>
                <c:pt idx="18">
                  <c:v>501</c:v>
                </c:pt>
                <c:pt idx="19">
                  <c:v>537</c:v>
                </c:pt>
                <c:pt idx="20">
                  <c:v>576</c:v>
                </c:pt>
                <c:pt idx="21">
                  <c:v>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F2-4486-91E0-1FA3D1184EA2}"/>
            </c:ext>
          </c:extLst>
        </c:ser>
        <c:ser>
          <c:idx val="5"/>
          <c:order val="2"/>
          <c:tx>
            <c:v>Backer Sonnenküste</c:v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val>
            <c:numRef>
              <c:f>'Schleichender Verfall'!$L$164:$L$185</c:f>
              <c:numCache>
                <c:formatCode>#,##0</c:formatCode>
                <c:ptCount val="22"/>
                <c:pt idx="0">
                  <c:v>0</c:v>
                </c:pt>
                <c:pt idx="1">
                  <c:v>625</c:v>
                </c:pt>
                <c:pt idx="2">
                  <c:v>789</c:v>
                </c:pt>
                <c:pt idx="3">
                  <c:v>852</c:v>
                </c:pt>
                <c:pt idx="4">
                  <c:v>891</c:v>
                </c:pt>
                <c:pt idx="5">
                  <c:v>918</c:v>
                </c:pt>
                <c:pt idx="6">
                  <c:v>953</c:v>
                </c:pt>
                <c:pt idx="7">
                  <c:v>1044</c:v>
                </c:pt>
                <c:pt idx="8">
                  <c:v>1084</c:v>
                </c:pt>
                <c:pt idx="9">
                  <c:v>1112</c:v>
                </c:pt>
                <c:pt idx="10">
                  <c:v>1140</c:v>
                </c:pt>
                <c:pt idx="11">
                  <c:v>1163</c:v>
                </c:pt>
                <c:pt idx="12">
                  <c:v>1189</c:v>
                </c:pt>
                <c:pt idx="13">
                  <c:v>1205</c:v>
                </c:pt>
                <c:pt idx="14">
                  <c:v>1232</c:v>
                </c:pt>
                <c:pt idx="15">
                  <c:v>1313</c:v>
                </c:pt>
                <c:pt idx="16">
                  <c:v>1350</c:v>
                </c:pt>
                <c:pt idx="17">
                  <c:v>1384</c:v>
                </c:pt>
                <c:pt idx="18">
                  <c:v>1419</c:v>
                </c:pt>
                <c:pt idx="19">
                  <c:v>1483</c:v>
                </c:pt>
                <c:pt idx="20">
                  <c:v>1545</c:v>
                </c:pt>
                <c:pt idx="21">
                  <c:v>1664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F2-4486-91E0-1FA3D1184EA2}"/>
            </c:ext>
          </c:extLst>
        </c:ser>
        <c:ser>
          <c:idx val="6"/>
          <c:order val="3"/>
          <c:tx>
            <c:v>Backer Rohals Erben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val>
            <c:numRef>
              <c:f>'Schleichender Verfall'!$J$164:$J$185</c:f>
              <c:numCache>
                <c:formatCode>#,##0</c:formatCode>
                <c:ptCount val="22"/>
                <c:pt idx="0">
                  <c:v>0</c:v>
                </c:pt>
                <c:pt idx="1">
                  <c:v>291</c:v>
                </c:pt>
                <c:pt idx="2">
                  <c:v>341</c:v>
                </c:pt>
                <c:pt idx="3">
                  <c:v>404</c:v>
                </c:pt>
                <c:pt idx="4">
                  <c:v>480</c:v>
                </c:pt>
                <c:pt idx="5">
                  <c:v>520</c:v>
                </c:pt>
                <c:pt idx="6">
                  <c:v>564</c:v>
                </c:pt>
                <c:pt idx="7">
                  <c:v>652</c:v>
                </c:pt>
                <c:pt idx="8">
                  <c:v>709</c:v>
                </c:pt>
                <c:pt idx="9">
                  <c:v>792</c:v>
                </c:pt>
                <c:pt idx="10">
                  <c:v>851</c:v>
                </c:pt>
                <c:pt idx="11">
                  <c:v>893</c:v>
                </c:pt>
                <c:pt idx="12">
                  <c:v>935</c:v>
                </c:pt>
                <c:pt idx="13">
                  <c:v>976</c:v>
                </c:pt>
                <c:pt idx="14">
                  <c:v>1011</c:v>
                </c:pt>
                <c:pt idx="15">
                  <c:v>1060</c:v>
                </c:pt>
                <c:pt idx="16">
                  <c:v>1096</c:v>
                </c:pt>
                <c:pt idx="17">
                  <c:v>1134</c:v>
                </c:pt>
                <c:pt idx="18">
                  <c:v>1160</c:v>
                </c:pt>
                <c:pt idx="19">
                  <c:v>1210</c:v>
                </c:pt>
                <c:pt idx="20">
                  <c:v>1290</c:v>
                </c:pt>
                <c:pt idx="21">
                  <c:v>1421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4DF2-4486-91E0-1FA3D1184EA2}"/>
            </c:ext>
          </c:extLst>
        </c:ser>
        <c:ser>
          <c:idx val="9"/>
          <c:order val="4"/>
          <c:tx>
            <c:v>Backer Gunst der Göttin</c:v>
          </c:tx>
          <c:spPr>
            <a:ln w="28575" cap="rnd">
              <a:solidFill>
                <a:srgbClr val="FD23E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D23ED"/>
              </a:solidFill>
              <a:ln w="9525">
                <a:solidFill>
                  <a:srgbClr val="FD23ED"/>
                </a:solidFill>
              </a:ln>
              <a:effectLst/>
            </c:spPr>
          </c:marker>
          <c:val>
            <c:numRef>
              <c:f>'Schleichender Verfall'!$M$164:$M$185</c:f>
              <c:numCache>
                <c:formatCode>#,##0</c:formatCode>
                <c:ptCount val="22"/>
                <c:pt idx="0" formatCode="#,##0\ &quot;€&quot;">
                  <c:v>0</c:v>
                </c:pt>
                <c:pt idx="1">
                  <c:v>317</c:v>
                </c:pt>
                <c:pt idx="2">
                  <c:v>417</c:v>
                </c:pt>
                <c:pt idx="3">
                  <c:v>458</c:v>
                </c:pt>
                <c:pt idx="4">
                  <c:v>486</c:v>
                </c:pt>
                <c:pt idx="5">
                  <c:v>497</c:v>
                </c:pt>
                <c:pt idx="6">
                  <c:v>508</c:v>
                </c:pt>
                <c:pt idx="7">
                  <c:v>523</c:v>
                </c:pt>
                <c:pt idx="8">
                  <c:v>539</c:v>
                </c:pt>
                <c:pt idx="9">
                  <c:v>551</c:v>
                </c:pt>
                <c:pt idx="10">
                  <c:v>565</c:v>
                </c:pt>
                <c:pt idx="11">
                  <c:v>582</c:v>
                </c:pt>
                <c:pt idx="12">
                  <c:v>598</c:v>
                </c:pt>
                <c:pt idx="13">
                  <c:v>624</c:v>
                </c:pt>
                <c:pt idx="14">
                  <c:v>650</c:v>
                </c:pt>
                <c:pt idx="15">
                  <c:v>690</c:v>
                </c:pt>
                <c:pt idx="16">
                  <c:v>729</c:v>
                </c:pt>
                <c:pt idx="17">
                  <c:v>757</c:v>
                </c:pt>
                <c:pt idx="18">
                  <c:v>781</c:v>
                </c:pt>
                <c:pt idx="19">
                  <c:v>827</c:v>
                </c:pt>
                <c:pt idx="20">
                  <c:v>863</c:v>
                </c:pt>
                <c:pt idx="21">
                  <c:v>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FCBE-4583-897B-413452D59494}"/>
            </c:ext>
          </c:extLst>
        </c:ser>
        <c:ser>
          <c:idx val="10"/>
          <c:order val="5"/>
          <c:tx>
            <c:v>Backer DSK: Fasar</c:v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val>
            <c:numRef>
              <c:f>'Schleichender Verfall'!$I$164:$I$185</c:f>
              <c:numCache>
                <c:formatCode>#,##0</c:formatCode>
                <c:ptCount val="22"/>
                <c:pt idx="0">
                  <c:v>0</c:v>
                </c:pt>
                <c:pt idx="1">
                  <c:v>195</c:v>
                </c:pt>
                <c:pt idx="2">
                  <c:v>233</c:v>
                </c:pt>
                <c:pt idx="3">
                  <c:v>248</c:v>
                </c:pt>
                <c:pt idx="4">
                  <c:v>264</c:v>
                </c:pt>
                <c:pt idx="5">
                  <c:v>280</c:v>
                </c:pt>
                <c:pt idx="6">
                  <c:v>294</c:v>
                </c:pt>
                <c:pt idx="7">
                  <c:v>308</c:v>
                </c:pt>
                <c:pt idx="8">
                  <c:v>325</c:v>
                </c:pt>
                <c:pt idx="9">
                  <c:v>350</c:v>
                </c:pt>
                <c:pt idx="10">
                  <c:v>369</c:v>
                </c:pt>
                <c:pt idx="11">
                  <c:v>386</c:v>
                </c:pt>
                <c:pt idx="12">
                  <c:v>395</c:v>
                </c:pt>
                <c:pt idx="13">
                  <c:v>410</c:v>
                </c:pt>
                <c:pt idx="14">
                  <c:v>417</c:v>
                </c:pt>
                <c:pt idx="15">
                  <c:v>427</c:v>
                </c:pt>
                <c:pt idx="16">
                  <c:v>444</c:v>
                </c:pt>
                <c:pt idx="17">
                  <c:v>487</c:v>
                </c:pt>
                <c:pt idx="18">
                  <c:v>514</c:v>
                </c:pt>
                <c:pt idx="19">
                  <c:v>549</c:v>
                </c:pt>
                <c:pt idx="20">
                  <c:v>584</c:v>
                </c:pt>
                <c:pt idx="21">
                  <c:v>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FCBE-4583-897B-413452D59494}"/>
            </c:ext>
          </c:extLst>
        </c:ser>
        <c:ser>
          <c:idx val="2"/>
          <c:order val="6"/>
          <c:tx>
            <c:v>Backer Erste Schätzung max.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'Schleichender Verfall'!$D$139:$D$160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'Schleichender Verfall'!$H$164:$H$185</c:f>
              <c:numCache>
                <c:formatCode>#,##0</c:formatCode>
                <c:ptCount val="22"/>
                <c:pt idx="0">
                  <c:v>0</c:v>
                </c:pt>
                <c:pt idx="1">
                  <c:v>136</c:v>
                </c:pt>
                <c:pt idx="2">
                  <c:v>172</c:v>
                </c:pt>
                <c:pt idx="3">
                  <c:v>199</c:v>
                </c:pt>
                <c:pt idx="4">
                  <c:v>226</c:v>
                </c:pt>
                <c:pt idx="5">
                  <c:v>245</c:v>
                </c:pt>
                <c:pt idx="6">
                  <c:v>269</c:v>
                </c:pt>
                <c:pt idx="7">
                  <c:v>333</c:v>
                </c:pt>
                <c:pt idx="8">
                  <c:v>361</c:v>
                </c:pt>
                <c:pt idx="9">
                  <c:v>381</c:v>
                </c:pt>
                <c:pt idx="10">
                  <c:v>401</c:v>
                </c:pt>
                <c:pt idx="11">
                  <c:v>417</c:v>
                </c:pt>
                <c:pt idx="12">
                  <c:v>435</c:v>
                </c:pt>
                <c:pt idx="13">
                  <c:v>446</c:v>
                </c:pt>
                <c:pt idx="14">
                  <c:v>465</c:v>
                </c:pt>
                <c:pt idx="15">
                  <c:v>522</c:v>
                </c:pt>
                <c:pt idx="16">
                  <c:v>548</c:v>
                </c:pt>
                <c:pt idx="17">
                  <c:v>572</c:v>
                </c:pt>
                <c:pt idx="18">
                  <c:v>596</c:v>
                </c:pt>
                <c:pt idx="19">
                  <c:v>641</c:v>
                </c:pt>
                <c:pt idx="20">
                  <c:v>684</c:v>
                </c:pt>
                <c:pt idx="21">
                  <c:v>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F2-4486-91E0-1FA3D1184EA2}"/>
            </c:ext>
          </c:extLst>
        </c:ser>
        <c:ser>
          <c:idx val="3"/>
          <c:order val="7"/>
          <c:tx>
            <c:v>Backer Erste Schätzung min.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'Schleichender Verfall'!$D$139:$D$160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'Schleichender Verfall'!$G$164:$G$185</c:f>
              <c:numCache>
                <c:formatCode>#,##0</c:formatCode>
                <c:ptCount val="22"/>
                <c:pt idx="0">
                  <c:v>0</c:v>
                </c:pt>
                <c:pt idx="1">
                  <c:v>136</c:v>
                </c:pt>
                <c:pt idx="2">
                  <c:v>172</c:v>
                </c:pt>
                <c:pt idx="3">
                  <c:v>199</c:v>
                </c:pt>
                <c:pt idx="4">
                  <c:v>206</c:v>
                </c:pt>
                <c:pt idx="5">
                  <c:v>211</c:v>
                </c:pt>
                <c:pt idx="6">
                  <c:v>214</c:v>
                </c:pt>
                <c:pt idx="7">
                  <c:v>220</c:v>
                </c:pt>
                <c:pt idx="8">
                  <c:v>224</c:v>
                </c:pt>
                <c:pt idx="9">
                  <c:v>230</c:v>
                </c:pt>
                <c:pt idx="10">
                  <c:v>236</c:v>
                </c:pt>
                <c:pt idx="11">
                  <c:v>238</c:v>
                </c:pt>
                <c:pt idx="12">
                  <c:v>243</c:v>
                </c:pt>
                <c:pt idx="13">
                  <c:v>248</c:v>
                </c:pt>
                <c:pt idx="14">
                  <c:v>253</c:v>
                </c:pt>
                <c:pt idx="15">
                  <c:v>259</c:v>
                </c:pt>
                <c:pt idx="16">
                  <c:v>266</c:v>
                </c:pt>
                <c:pt idx="17">
                  <c:v>274</c:v>
                </c:pt>
                <c:pt idx="18">
                  <c:v>283</c:v>
                </c:pt>
                <c:pt idx="19">
                  <c:v>294</c:v>
                </c:pt>
                <c:pt idx="20">
                  <c:v>306</c:v>
                </c:pt>
                <c:pt idx="21">
                  <c:v>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F2-4486-91E0-1FA3D1184EA2}"/>
            </c:ext>
          </c:extLst>
        </c:ser>
        <c:ser>
          <c:idx val="0"/>
          <c:order val="10"/>
          <c:tx>
            <c:v>Backer DSK: Schleichender Verfall</c:v>
          </c:tx>
          <c:spPr>
            <a:ln w="28575" cap="rnd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4DF2-4486-91E0-1FA3D1184EA2}"/>
              </c:ext>
            </c:extLst>
          </c:dPt>
          <c:dPt>
            <c:idx val="2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4DF2-4486-91E0-1FA3D1184EA2}"/>
              </c:ext>
            </c:extLst>
          </c:dPt>
          <c:dPt>
            <c:idx val="3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4DF2-4486-91E0-1FA3D1184EA2}"/>
              </c:ext>
            </c:extLst>
          </c:dPt>
          <c:dPt>
            <c:idx val="4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4DF2-4486-91E0-1FA3D1184EA2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7F41-4F76-AB57-B6BA2F6184DC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CF7A-4EC7-B183-194F14FA457B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CE45-475F-8C73-6303FBADFBA9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3F5C-4E80-BFC3-297854CB585B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3F5C-4E80-BFC3-297854CB585B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3F5C-4E80-BFC3-297854CB585B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7D33-486C-BF84-F5AFF9ADD6ED}"/>
              </c:ext>
            </c:extLst>
          </c:dPt>
          <c:dPt>
            <c:idx val="12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7D33-486C-BF84-F5AFF9ADD6ED}"/>
              </c:ext>
            </c:extLst>
          </c:dPt>
          <c:dPt>
            <c:idx val="13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7D33-486C-BF84-F5AFF9ADD6ED}"/>
              </c:ext>
            </c:extLst>
          </c:dPt>
          <c:dPt>
            <c:idx val="14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2-A121-402D-A75D-869CAA51C320}"/>
              </c:ext>
            </c:extLst>
          </c:dPt>
          <c:dPt>
            <c:idx val="1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7238-4EA1-BBD5-70D843C09B2D}"/>
              </c:ext>
            </c:extLst>
          </c:dPt>
          <c:dPt>
            <c:idx val="16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0-F8EB-4D17-BD46-7886244315DC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8-93BC-4597-A852-0805225FEEF7}"/>
              </c:ext>
            </c:extLst>
          </c:dPt>
          <c:dPt>
            <c:idx val="18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93BC-4597-A852-0805225FEEF7}"/>
              </c:ext>
            </c:extLst>
          </c:dPt>
          <c:dPt>
            <c:idx val="19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A-93BC-4597-A852-0805225FEEF7}"/>
              </c:ext>
            </c:extLst>
          </c:dPt>
          <c:dPt>
            <c:idx val="20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B-93BC-4597-A852-0805225FEEF7}"/>
              </c:ext>
            </c:extLst>
          </c:dPt>
          <c:dPt>
            <c:idx val="21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C-93BC-4597-A852-0805225FEEF7}"/>
              </c:ext>
            </c:extLst>
          </c:dPt>
          <c:dPt>
            <c:idx val="22"/>
            <c:marker>
              <c:symbol val="diamond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0-4DF2-4486-91E0-1FA3D1184EA2}"/>
              </c:ext>
            </c:extLst>
          </c:dPt>
          <c:dPt>
            <c:idx val="23"/>
            <c:marker>
              <c:symbol val="diamond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2-4DF2-4486-91E0-1FA3D1184EA2}"/>
              </c:ext>
            </c:extLst>
          </c:dPt>
          <c:dPt>
            <c:idx val="24"/>
            <c:marker>
              <c:symbol val="diamond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4-4DF2-4486-91E0-1FA3D1184EA2}"/>
              </c:ext>
            </c:extLst>
          </c:dPt>
          <c:dPt>
            <c:idx val="25"/>
            <c:marker>
              <c:symbol val="diamond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36-4DF2-4486-91E0-1FA3D1184EA2}"/>
              </c:ext>
            </c:extLst>
          </c:dPt>
          <c:cat>
            <c:numRef>
              <c:f>'Schleichender Verfall'!$D$139:$D$160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'Schleichender Verfall'!$F$164:$F$185</c:f>
              <c:numCache>
                <c:formatCode>#,##0</c:formatCode>
                <c:ptCount val="22"/>
                <c:pt idx="0">
                  <c:v>0</c:v>
                </c:pt>
                <c:pt idx="1">
                  <c:v>136</c:v>
                </c:pt>
                <c:pt idx="2">
                  <c:v>172</c:v>
                </c:pt>
                <c:pt idx="3">
                  <c:v>199</c:v>
                </c:pt>
                <c:pt idx="4">
                  <c:v>218</c:v>
                </c:pt>
                <c:pt idx="5">
                  <c:v>235</c:v>
                </c:pt>
                <c:pt idx="6">
                  <c:v>241</c:v>
                </c:pt>
                <c:pt idx="7">
                  <c:v>262</c:v>
                </c:pt>
                <c:pt idx="8">
                  <c:v>287</c:v>
                </c:pt>
                <c:pt idx="9">
                  <c:v>324</c:v>
                </c:pt>
                <c:pt idx="10">
                  <c:v>336</c:v>
                </c:pt>
                <c:pt idx="11">
                  <c:v>345</c:v>
                </c:pt>
                <c:pt idx="12">
                  <c:v>361</c:v>
                </c:pt>
                <c:pt idx="13">
                  <c:v>375</c:v>
                </c:pt>
                <c:pt idx="14">
                  <c:v>395</c:v>
                </c:pt>
                <c:pt idx="15">
                  <c:v>415</c:v>
                </c:pt>
                <c:pt idx="16">
                  <c:v>438</c:v>
                </c:pt>
                <c:pt idx="17">
                  <c:v>471</c:v>
                </c:pt>
                <c:pt idx="18">
                  <c:v>491</c:v>
                </c:pt>
                <c:pt idx="19">
                  <c:v>519</c:v>
                </c:pt>
                <c:pt idx="20">
                  <c:v>558</c:v>
                </c:pt>
                <c:pt idx="21">
                  <c:v>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4DF2-4486-91E0-1FA3D1184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141632"/>
        <c:axId val="514139008"/>
        <c:extLst>
          <c:ext xmlns:c15="http://schemas.microsoft.com/office/drawing/2012/chart" uri="{02D57815-91ED-43cb-92C2-25804820EDAC}">
            <c15:filteredLineSeries>
              <c15:ser>
                <c:idx val="4"/>
                <c:order val="1"/>
                <c:tx>
                  <c:v>Backer Thorwal</c:v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7030A0"/>
                    </a:solidFill>
                    <a:ln w="9525">
                      <a:solidFill>
                        <a:srgbClr val="7030A0"/>
                      </a:solidFill>
                    </a:ln>
                    <a:effectLst/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'Schleichender Verfall'!$K$164:$K$185</c15:sqref>
                        </c15:formulaRef>
                      </c:ext>
                    </c:extLst>
                    <c:numCache>
                      <c:formatCode>#,##0</c:formatCode>
                      <c:ptCount val="22"/>
                      <c:pt idx="0">
                        <c:v>0</c:v>
                      </c:pt>
                      <c:pt idx="1">
                        <c:v>500</c:v>
                      </c:pt>
                      <c:pt idx="11">
                        <c:v>900</c:v>
                      </c:pt>
                      <c:pt idx="21">
                        <c:v>1572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4DF2-4486-91E0-1FA3D1184EA2}"/>
                  </c:ext>
                </c:extLst>
              </c15:ser>
            </c15:filteredLineSeries>
            <c15:filteredLineSeries>
              <c15:ser>
                <c:idx val="7"/>
                <c:order val="8"/>
                <c:tx>
                  <c:v>Backer Prognose min.</c:v>
                </c:tx>
                <c:spPr>
                  <a:ln w="28575" cap="rnd">
                    <a:solidFill>
                      <a:srgbClr val="FF0000"/>
                    </a:solidFill>
                    <a:prstDash val="sysDot"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F0000"/>
                    </a:solidFill>
                    <a:ln w="9525">
                      <a:solidFill>
                        <a:srgbClr val="FF0000"/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'Schleichender Verfall'!$P$164:$P$185</c15:sqref>
                        </c15:formulaRef>
                      </c:ext>
                    </c:extLst>
                    <c:numCache>
                      <c:formatCode>#,##0</c:formatCode>
                      <c:ptCount val="2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93BC-4597-A852-0805225FEEF7}"/>
                  </c:ext>
                </c:extLst>
              </c15:ser>
            </c15:filteredLineSeries>
            <c15:filteredLineSeries>
              <c15:ser>
                <c:idx val="8"/>
                <c:order val="9"/>
                <c:tx>
                  <c:v>Backer Prognose max.</c:v>
                </c:tx>
                <c:spPr>
                  <a:ln w="28575" cap="rnd">
                    <a:solidFill>
                      <a:srgbClr val="00B050"/>
                    </a:solidFill>
                    <a:prstDash val="sysDot"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0B050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'Schleichender Verfall'!$Q$164:$Q$185</c15:sqref>
                        </c15:formulaRef>
                      </c:ext>
                    </c:extLst>
                    <c:numCache>
                      <c:formatCode>#,##0</c:formatCode>
                      <c:ptCount val="2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7-93BC-4597-A852-0805225FEEF7}"/>
                  </c:ext>
                </c:extLst>
              </c15:ser>
            </c15:filteredLineSeries>
          </c:ext>
        </c:extLst>
      </c:lineChart>
      <c:catAx>
        <c:axId val="51414163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de-DE"/>
          </a:p>
        </c:txPr>
        <c:crossAx val="514139008"/>
        <c:crosses val="autoZero"/>
        <c:auto val="0"/>
        <c:lblAlgn val="ctr"/>
        <c:lblOffset val="100"/>
        <c:noMultiLvlLbl val="0"/>
      </c:catAx>
      <c:valAx>
        <c:axId val="514139008"/>
        <c:scaling>
          <c:orientation val="minMax"/>
          <c:max val="8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ook Antiqua" panose="02040602050305030304" pitchFamily="18" charset="0"/>
                <a:ea typeface="+mn-ea"/>
                <a:cs typeface="+mn-cs"/>
              </a:defRPr>
            </a:pPr>
            <a:endParaRPr lang="de-DE"/>
          </a:p>
        </c:txPr>
        <c:crossAx val="514141632"/>
        <c:crossesAt val="43874"/>
        <c:crossBetween val="midCat"/>
        <c:majorUnit val="25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0490164528917559"/>
          <c:y val="7.5604929793808831E-3"/>
          <c:w val="0.79509835471082457"/>
          <c:h val="0.111650706891100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Book Antiqua" panose="02040602050305030304" pitchFamily="18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Book Antiqua" panose="02040602050305030304" pitchFamily="18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Vergleich!$C$2</c:f>
              <c:strCache>
                <c:ptCount val="1"/>
                <c:pt idx="0">
                  <c:v>Nedime (€)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Vergleich!$B$3:$B$24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Vergleich!$C$3:$C$24</c:f>
              <c:numCache>
                <c:formatCode>#,##0</c:formatCode>
                <c:ptCount val="22"/>
                <c:pt idx="0">
                  <c:v>0</c:v>
                </c:pt>
                <c:pt idx="1">
                  <c:v>14771</c:v>
                </c:pt>
                <c:pt idx="2">
                  <c:v>16764</c:v>
                </c:pt>
                <c:pt idx="3">
                  <c:v>17674</c:v>
                </c:pt>
                <c:pt idx="4">
                  <c:v>18881</c:v>
                </c:pt>
                <c:pt idx="5">
                  <c:v>21886</c:v>
                </c:pt>
                <c:pt idx="6">
                  <c:v>22571</c:v>
                </c:pt>
                <c:pt idx="7">
                  <c:v>24180</c:v>
                </c:pt>
                <c:pt idx="8">
                  <c:v>26679</c:v>
                </c:pt>
                <c:pt idx="9">
                  <c:v>27868</c:v>
                </c:pt>
                <c:pt idx="10">
                  <c:v>31587</c:v>
                </c:pt>
                <c:pt idx="11">
                  <c:v>34703</c:v>
                </c:pt>
                <c:pt idx="12">
                  <c:v>36986</c:v>
                </c:pt>
                <c:pt idx="13">
                  <c:v>37704</c:v>
                </c:pt>
                <c:pt idx="14">
                  <c:v>38541</c:v>
                </c:pt>
                <c:pt idx="15">
                  <c:v>40401</c:v>
                </c:pt>
                <c:pt idx="16">
                  <c:v>42277</c:v>
                </c:pt>
                <c:pt idx="17">
                  <c:v>44039</c:v>
                </c:pt>
                <c:pt idx="18">
                  <c:v>46661</c:v>
                </c:pt>
                <c:pt idx="19">
                  <c:v>49576</c:v>
                </c:pt>
                <c:pt idx="20">
                  <c:v>54612</c:v>
                </c:pt>
                <c:pt idx="21">
                  <c:v>62345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51-40A9-B8C8-DD6E3F7C80B9}"/>
            </c:ext>
          </c:extLst>
        </c:ser>
        <c:ser>
          <c:idx val="3"/>
          <c:order val="2"/>
          <c:tx>
            <c:strRef>
              <c:f>Vergleich!$E$2</c:f>
              <c:strCache>
                <c:ptCount val="1"/>
                <c:pt idx="0">
                  <c:v>Thorwal norm (€)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Vergleich!$B$3:$B$24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Vergleich!$E$3:$E$24</c:f>
              <c:numCache>
                <c:formatCode>#,##0</c:formatCode>
                <c:ptCount val="22"/>
                <c:pt idx="0">
                  <c:v>0</c:v>
                </c:pt>
                <c:pt idx="1">
                  <c:v>15220.890095815445</c:v>
                </c:pt>
                <c:pt idx="2">
                  <c:v>16625.895335429177</c:v>
                </c:pt>
                <c:pt idx="3">
                  <c:v>18030.90057504291</c:v>
                </c:pt>
                <c:pt idx="4">
                  <c:v>19435.905814656642</c:v>
                </c:pt>
                <c:pt idx="5">
                  <c:v>20840.911054270375</c:v>
                </c:pt>
                <c:pt idx="6">
                  <c:v>22245.916293884107</c:v>
                </c:pt>
                <c:pt idx="7">
                  <c:v>23650.92153349784</c:v>
                </c:pt>
                <c:pt idx="8">
                  <c:v>25055.926773111572</c:v>
                </c:pt>
                <c:pt idx="9">
                  <c:v>26460.932012725305</c:v>
                </c:pt>
                <c:pt idx="10">
                  <c:v>27865.937252339038</c:v>
                </c:pt>
                <c:pt idx="11">
                  <c:v>29270.942491952781</c:v>
                </c:pt>
                <c:pt idx="12">
                  <c:v>32578.348242757504</c:v>
                </c:pt>
                <c:pt idx="13">
                  <c:v>35885.753993562226</c:v>
                </c:pt>
                <c:pt idx="14">
                  <c:v>39193.159744366945</c:v>
                </c:pt>
                <c:pt idx="15">
                  <c:v>42500.565495171664</c:v>
                </c:pt>
                <c:pt idx="16">
                  <c:v>45807.971245976383</c:v>
                </c:pt>
                <c:pt idx="17">
                  <c:v>49115.376996781102</c:v>
                </c:pt>
                <c:pt idx="18">
                  <c:v>52422.782747585821</c:v>
                </c:pt>
                <c:pt idx="19">
                  <c:v>55730.18849839054</c:v>
                </c:pt>
                <c:pt idx="20">
                  <c:v>59037.594249195259</c:v>
                </c:pt>
                <c:pt idx="21">
                  <c:v>62345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51-40A9-B8C8-DD6E3F7C80B9}"/>
            </c:ext>
          </c:extLst>
        </c:ser>
        <c:ser>
          <c:idx val="5"/>
          <c:order val="4"/>
          <c:tx>
            <c:strRef>
              <c:f>Vergleich!$G$2</c:f>
              <c:strCache>
                <c:ptCount val="1"/>
                <c:pt idx="0">
                  <c:v>Werkzeuge norm (€)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Vergleich!$B$3:$B$24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Vergleich!$G$3:$G$24</c:f>
              <c:numCache>
                <c:formatCode>#,##0</c:formatCode>
                <c:ptCount val="22"/>
                <c:pt idx="0">
                  <c:v>0</c:v>
                </c:pt>
                <c:pt idx="1">
                  <c:v>15879.347283058034</c:v>
                </c:pt>
                <c:pt idx="2">
                  <c:v>18103.852387402443</c:v>
                </c:pt>
                <c:pt idx="3">
                  <c:v>19704.691804316852</c:v>
                </c:pt>
                <c:pt idx="4">
                  <c:v>21920.78875461033</c:v>
                </c:pt>
                <c:pt idx="5">
                  <c:v>23073.071431503275</c:v>
                </c:pt>
                <c:pt idx="6">
                  <c:v>23816.279135222616</c:v>
                </c:pt>
                <c:pt idx="7">
                  <c:v>25452.213456001784</c:v>
                </c:pt>
                <c:pt idx="8">
                  <c:v>26607.420708216792</c:v>
                </c:pt>
                <c:pt idx="9">
                  <c:v>28001.711993010478</c:v>
                </c:pt>
                <c:pt idx="10">
                  <c:v>29730.867152180414</c:v>
                </c:pt>
                <c:pt idx="11">
                  <c:v>30365.134425152894</c:v>
                </c:pt>
                <c:pt idx="12">
                  <c:v>31495.482787130364</c:v>
                </c:pt>
                <c:pt idx="13">
                  <c:v>32558.56591670038</c:v>
                </c:pt>
                <c:pt idx="14">
                  <c:v>34038.035457749167</c:v>
                </c:pt>
                <c:pt idx="15">
                  <c:v>35630.832292527899</c:v>
                </c:pt>
                <c:pt idx="16">
                  <c:v>37819.145777261772</c:v>
                </c:pt>
                <c:pt idx="17">
                  <c:v>40047.306600758762</c:v>
                </c:pt>
                <c:pt idx="18">
                  <c:v>42194.310459068496</c:v>
                </c:pt>
                <c:pt idx="19">
                  <c:v>45163.485554793275</c:v>
                </c:pt>
                <c:pt idx="20">
                  <c:v>47642.79428407245</c:v>
                </c:pt>
                <c:pt idx="21">
                  <c:v>62345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51-40A9-B8C8-DD6E3F7C80B9}"/>
            </c:ext>
          </c:extLst>
        </c:ser>
        <c:ser>
          <c:idx val="0"/>
          <c:order val="6"/>
          <c:tx>
            <c:strRef>
              <c:f>Vergleich!$I$2</c:f>
              <c:strCache>
                <c:ptCount val="1"/>
                <c:pt idx="0">
                  <c:v>Mythos norm (€)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Vergleich!$B$3:$B$24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Vergleich!$I$3:$I$24</c:f>
              <c:numCache>
                <c:formatCode>#,##0</c:formatCode>
                <c:ptCount val="22"/>
                <c:pt idx="0">
                  <c:v>0</c:v>
                </c:pt>
                <c:pt idx="1">
                  <c:v>8008.0810450070085</c:v>
                </c:pt>
                <c:pt idx="2">
                  <c:v>16016.162090014017</c:v>
                </c:pt>
                <c:pt idx="3">
                  <c:v>24024.243135021028</c:v>
                </c:pt>
                <c:pt idx="4">
                  <c:v>26153.174071964302</c:v>
                </c:pt>
                <c:pt idx="5">
                  <c:v>28282.10500890758</c:v>
                </c:pt>
                <c:pt idx="6">
                  <c:v>30411.035945850857</c:v>
                </c:pt>
                <c:pt idx="7">
                  <c:v>32539.966882794135</c:v>
                </c:pt>
                <c:pt idx="8">
                  <c:v>34668.897819737409</c:v>
                </c:pt>
                <c:pt idx="9">
                  <c:v>36797.828756680683</c:v>
                </c:pt>
                <c:pt idx="10">
                  <c:v>38926.759693623957</c:v>
                </c:pt>
                <c:pt idx="11">
                  <c:v>41055.690630567231</c:v>
                </c:pt>
                <c:pt idx="12">
                  <c:v>43184.621567510505</c:v>
                </c:pt>
                <c:pt idx="13">
                  <c:v>45313.552504453779</c:v>
                </c:pt>
                <c:pt idx="14">
                  <c:v>47442.483441397053</c:v>
                </c:pt>
                <c:pt idx="15">
                  <c:v>49571.414378340327</c:v>
                </c:pt>
                <c:pt idx="16">
                  <c:v>51700.345315283601</c:v>
                </c:pt>
                <c:pt idx="17">
                  <c:v>53829.276252226875</c:v>
                </c:pt>
                <c:pt idx="18">
                  <c:v>55958.207189170149</c:v>
                </c:pt>
                <c:pt idx="19">
                  <c:v>58087.138126113423</c:v>
                </c:pt>
                <c:pt idx="20">
                  <c:v>60216.069063056697</c:v>
                </c:pt>
                <c:pt idx="21">
                  <c:v>62345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51-40A9-B8C8-DD6E3F7C80B9}"/>
            </c:ext>
          </c:extLst>
        </c:ser>
        <c:ser>
          <c:idx val="8"/>
          <c:order val="9"/>
          <c:tx>
            <c:strRef>
              <c:f>Vergleich!$K$2</c:f>
              <c:strCache>
                <c:ptCount val="1"/>
                <c:pt idx="0">
                  <c:v>DSK norm (€)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val>
            <c:numRef>
              <c:f>Vergleich!$K$3:$K$24</c:f>
              <c:numCache>
                <c:formatCode>#,##0</c:formatCode>
                <c:ptCount val="22"/>
                <c:pt idx="0">
                  <c:v>0</c:v>
                </c:pt>
                <c:pt idx="1">
                  <c:v>18321.783592211064</c:v>
                </c:pt>
                <c:pt idx="2">
                  <c:v>21471.044620079439</c:v>
                </c:pt>
                <c:pt idx="3">
                  <c:v>22786.717998191623</c:v>
                </c:pt>
                <c:pt idx="4">
                  <c:v>24137.623639680951</c:v>
                </c:pt>
                <c:pt idx="5">
                  <c:v>25549.934083056156</c:v>
                </c:pt>
                <c:pt idx="6">
                  <c:v>27093.107218975038</c:v>
                </c:pt>
                <c:pt idx="7">
                  <c:v>28176.247658798078</c:v>
                </c:pt>
                <c:pt idx="8">
                  <c:v>29592.58464655924</c:v>
                </c:pt>
                <c:pt idx="9">
                  <c:v>31860.032453902542</c:v>
                </c:pt>
                <c:pt idx="10">
                  <c:v>33546.147915522975</c:v>
                </c:pt>
                <c:pt idx="11">
                  <c:v>35065.161785126103</c:v>
                </c:pt>
                <c:pt idx="12">
                  <c:v>35879.530387186358</c:v>
                </c:pt>
                <c:pt idx="13">
                  <c:v>37285.297695934387</c:v>
                </c:pt>
                <c:pt idx="14">
                  <c:v>37955.717336196598</c:v>
                </c:pt>
                <c:pt idx="15">
                  <c:v>38763.542803629673</c:v>
                </c:pt>
                <c:pt idx="16">
                  <c:v>40290.106443956465</c:v>
                </c:pt>
                <c:pt idx="17">
                  <c:v>43704.616083249915</c:v>
                </c:pt>
                <c:pt idx="18">
                  <c:v>46292.174169276972</c:v>
                </c:pt>
                <c:pt idx="19">
                  <c:v>50920.686940937128</c:v>
                </c:pt>
                <c:pt idx="20">
                  <c:v>54792.209368036936</c:v>
                </c:pt>
                <c:pt idx="21">
                  <c:v>62345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251-40A9-B8C8-DD6E3F7C80B9}"/>
            </c:ext>
          </c:extLst>
        </c:ser>
        <c:ser>
          <c:idx val="10"/>
          <c:order val="10"/>
          <c:tx>
            <c:strRef>
              <c:f>Vergleich!$M$2</c:f>
              <c:strCache>
                <c:ptCount val="1"/>
                <c:pt idx="0">
                  <c:v>Mythen norm (€)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val>
            <c:numRef>
              <c:f>Vergleich!$M$3:$M$24</c:f>
              <c:numCache>
                <c:formatCode>#,##0</c:formatCode>
                <c:ptCount val="22"/>
                <c:pt idx="0">
                  <c:v>0</c:v>
                </c:pt>
                <c:pt idx="1">
                  <c:v>13585.517272030311</c:v>
                </c:pt>
                <c:pt idx="2">
                  <c:v>16993.672736969591</c:v>
                </c:pt>
                <c:pt idx="3">
                  <c:v>19168.103632181865</c:v>
                </c:pt>
                <c:pt idx="4">
                  <c:v>21005.875268052576</c:v>
                </c:pt>
                <c:pt idx="5">
                  <c:v>22597.040532882966</c:v>
                </c:pt>
                <c:pt idx="6">
                  <c:v>25963.633126298595</c:v>
                </c:pt>
                <c:pt idx="7">
                  <c:v>27863.056354929391</c:v>
                </c:pt>
                <c:pt idx="8">
                  <c:v>30317.343918400908</c:v>
                </c:pt>
                <c:pt idx="9">
                  <c:v>31844.779446895034</c:v>
                </c:pt>
                <c:pt idx="10">
                  <c:v>33841.182709081011</c:v>
                </c:pt>
                <c:pt idx="11">
                  <c:v>34832.457194920054</c:v>
                </c:pt>
                <c:pt idx="12">
                  <c:v>37557.596137820692</c:v>
                </c:pt>
                <c:pt idx="13">
                  <c:v>38504.536894034507</c:v>
                </c:pt>
                <c:pt idx="14">
                  <c:v>39940.534105176608</c:v>
                </c:pt>
                <c:pt idx="15">
                  <c:v>40976.835035166274</c:v>
                </c:pt>
                <c:pt idx="16">
                  <c:v>42838.851679425781</c:v>
                </c:pt>
                <c:pt idx="17">
                  <c:v>44512.449972778079</c:v>
                </c:pt>
                <c:pt idx="18">
                  <c:v>46238.001855534945</c:v>
                </c:pt>
                <c:pt idx="19">
                  <c:v>49482.676692481196</c:v>
                </c:pt>
                <c:pt idx="20">
                  <c:v>54719.598504461064</c:v>
                </c:pt>
                <c:pt idx="21">
                  <c:v>62345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E4-487C-B806-F0C4AB4B9284}"/>
            </c:ext>
          </c:extLst>
        </c:ser>
        <c:ser>
          <c:idx val="12"/>
          <c:order val="12"/>
          <c:tx>
            <c:v>SOK norm (€)</c:v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val>
            <c:numRef>
              <c:f>Vergleich!$O$3:$O$24</c:f>
              <c:numCache>
                <c:formatCode>#,##0</c:formatCode>
                <c:ptCount val="22"/>
                <c:pt idx="0">
                  <c:v>0</c:v>
                </c:pt>
                <c:pt idx="1">
                  <c:v>23389.670781979032</c:v>
                </c:pt>
                <c:pt idx="2">
                  <c:v>29715.190707727812</c:v>
                </c:pt>
                <c:pt idx="3">
                  <c:v>31934.909171864809</c:v>
                </c:pt>
                <c:pt idx="4">
                  <c:v>33260.328193722096</c:v>
                </c:pt>
                <c:pt idx="5">
                  <c:v>34216.923633292638</c:v>
                </c:pt>
                <c:pt idx="6">
                  <c:v>35342.682680569254</c:v>
                </c:pt>
                <c:pt idx="7">
                  <c:v>38393.361978861816</c:v>
                </c:pt>
                <c:pt idx="8">
                  <c:v>40180.657599879589</c:v>
                </c:pt>
                <c:pt idx="9">
                  <c:v>41350.466954863958</c:v>
                </c:pt>
                <c:pt idx="10">
                  <c:v>42536.958083181431</c:v>
                </c:pt>
                <c:pt idx="11">
                  <c:v>43373.913929628579</c:v>
                </c:pt>
                <c:pt idx="12">
                  <c:v>44253.616820241819</c:v>
                </c:pt>
                <c:pt idx="13">
                  <c:v>44945.9104135659</c:v>
                </c:pt>
                <c:pt idx="14">
                  <c:v>46038.82721959296</c:v>
                </c:pt>
                <c:pt idx="15">
                  <c:v>49073.867355385722</c:v>
                </c:pt>
                <c:pt idx="16">
                  <c:v>50374.785022659999</c:v>
                </c:pt>
                <c:pt idx="17">
                  <c:v>51677.266606184254</c:v>
                </c:pt>
                <c:pt idx="18">
                  <c:v>52943.517463250668</c:v>
                </c:pt>
                <c:pt idx="19">
                  <c:v>55306.855569677406</c:v>
                </c:pt>
                <c:pt idx="20">
                  <c:v>57577.401311938731</c:v>
                </c:pt>
                <c:pt idx="21">
                  <c:v>62345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38-4F48-9EE1-DAC7BB3A5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644864"/>
        <c:axId val="502641912"/>
      </c:lineChart>
      <c:lineChart>
        <c:grouping val="standard"/>
        <c:varyColors val="0"/>
        <c:ser>
          <c:idx val="2"/>
          <c:order val="1"/>
          <c:tx>
            <c:strRef>
              <c:f>Vergleich!$D$2</c:f>
              <c:strCache>
                <c:ptCount val="1"/>
                <c:pt idx="0">
                  <c:v>Nedime (Backer)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cat>
            <c:numRef>
              <c:f>Vergleich!$B$3:$B$24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Vergleich!$D$3:$D$24</c:f>
              <c:numCache>
                <c:formatCode>#,##0</c:formatCode>
                <c:ptCount val="22"/>
                <c:pt idx="0">
                  <c:v>0</c:v>
                </c:pt>
                <c:pt idx="1">
                  <c:v>73</c:v>
                </c:pt>
                <c:pt idx="2">
                  <c:v>82</c:v>
                </c:pt>
                <c:pt idx="3">
                  <c:v>90</c:v>
                </c:pt>
                <c:pt idx="4">
                  <c:v>95</c:v>
                </c:pt>
                <c:pt idx="5">
                  <c:v>111</c:v>
                </c:pt>
                <c:pt idx="6">
                  <c:v>114.99999999999999</c:v>
                </c:pt>
                <c:pt idx="7">
                  <c:v>124</c:v>
                </c:pt>
                <c:pt idx="8">
                  <c:v>136</c:v>
                </c:pt>
                <c:pt idx="9">
                  <c:v>142</c:v>
                </c:pt>
                <c:pt idx="10">
                  <c:v>161</c:v>
                </c:pt>
                <c:pt idx="11">
                  <c:v>178</c:v>
                </c:pt>
                <c:pt idx="12">
                  <c:v>193</c:v>
                </c:pt>
                <c:pt idx="13">
                  <c:v>197</c:v>
                </c:pt>
                <c:pt idx="14">
                  <c:v>205</c:v>
                </c:pt>
                <c:pt idx="15">
                  <c:v>214</c:v>
                </c:pt>
                <c:pt idx="16">
                  <c:v>224</c:v>
                </c:pt>
                <c:pt idx="17">
                  <c:v>233</c:v>
                </c:pt>
                <c:pt idx="18">
                  <c:v>250</c:v>
                </c:pt>
                <c:pt idx="19">
                  <c:v>267</c:v>
                </c:pt>
                <c:pt idx="20">
                  <c:v>300</c:v>
                </c:pt>
                <c:pt idx="21">
                  <c:v>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251-40A9-B8C8-DD6E3F7C80B9}"/>
            </c:ext>
          </c:extLst>
        </c:ser>
        <c:ser>
          <c:idx val="4"/>
          <c:order val="3"/>
          <c:tx>
            <c:strRef>
              <c:f>Vergleich!$F$2</c:f>
              <c:strCache>
                <c:ptCount val="1"/>
                <c:pt idx="0">
                  <c:v>Thorwal norm (Backer)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Vergleich!$B$3:$B$24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Vergleich!$F$3:$F$24</c:f>
              <c:numCache>
                <c:formatCode>#,##0</c:formatCode>
                <c:ptCount val="22"/>
                <c:pt idx="0">
                  <c:v>0</c:v>
                </c:pt>
                <c:pt idx="1">
                  <c:v>110.36895674300254</c:v>
                </c:pt>
                <c:pt idx="2">
                  <c:v>119.19847328244275</c:v>
                </c:pt>
                <c:pt idx="3">
                  <c:v>128.02798982188295</c:v>
                </c:pt>
                <c:pt idx="4">
                  <c:v>136.85750636132315</c:v>
                </c:pt>
                <c:pt idx="5">
                  <c:v>145.68702290076334</c:v>
                </c:pt>
                <c:pt idx="6">
                  <c:v>154.51653944020353</c:v>
                </c:pt>
                <c:pt idx="7">
                  <c:v>163.34605597964372</c:v>
                </c:pt>
                <c:pt idx="8">
                  <c:v>172.17557251908391</c:v>
                </c:pt>
                <c:pt idx="9">
                  <c:v>181.00508905852411</c:v>
                </c:pt>
                <c:pt idx="10">
                  <c:v>189.8346055979643</c:v>
                </c:pt>
                <c:pt idx="11">
                  <c:v>198.66412213740458</c:v>
                </c:pt>
                <c:pt idx="12">
                  <c:v>213.4977099236641</c:v>
                </c:pt>
                <c:pt idx="13">
                  <c:v>228.33129770992366</c:v>
                </c:pt>
                <c:pt idx="14">
                  <c:v>243.16488549618322</c:v>
                </c:pt>
                <c:pt idx="15">
                  <c:v>257.99847328244277</c:v>
                </c:pt>
                <c:pt idx="16">
                  <c:v>272.83206106870233</c:v>
                </c:pt>
                <c:pt idx="17">
                  <c:v>287.66564885496189</c:v>
                </c:pt>
                <c:pt idx="18">
                  <c:v>302.49923664122144</c:v>
                </c:pt>
                <c:pt idx="19">
                  <c:v>317.332824427481</c:v>
                </c:pt>
                <c:pt idx="20">
                  <c:v>332.16641221374056</c:v>
                </c:pt>
                <c:pt idx="21">
                  <c:v>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251-40A9-B8C8-DD6E3F7C80B9}"/>
            </c:ext>
          </c:extLst>
        </c:ser>
        <c:ser>
          <c:idx val="6"/>
          <c:order val="5"/>
          <c:tx>
            <c:strRef>
              <c:f>Vergleich!$H$2</c:f>
              <c:strCache>
                <c:ptCount val="1"/>
                <c:pt idx="0">
                  <c:v>Werkzeuge norm (Backer)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cat>
            <c:numRef>
              <c:f>Vergleich!$B$3:$B$24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Vergleich!$H$3:$H$24</c:f>
              <c:numCache>
                <c:formatCode>#,##0</c:formatCode>
                <c:ptCount val="22"/>
                <c:pt idx="0">
                  <c:v>0</c:v>
                </c:pt>
                <c:pt idx="1">
                  <c:v>82.160052910052912</c:v>
                </c:pt>
                <c:pt idx="2">
                  <c:v>94.55291005291005</c:v>
                </c:pt>
                <c:pt idx="3">
                  <c:v>102.81481481481481</c:v>
                </c:pt>
                <c:pt idx="4">
                  <c:v>113.37169312169313</c:v>
                </c:pt>
                <c:pt idx="5">
                  <c:v>121.17460317460316</c:v>
                </c:pt>
                <c:pt idx="6">
                  <c:v>125.76455026455027</c:v>
                </c:pt>
                <c:pt idx="7">
                  <c:v>135.40343915343917</c:v>
                </c:pt>
                <c:pt idx="8">
                  <c:v>141.37037037037035</c:v>
                </c:pt>
                <c:pt idx="9">
                  <c:v>151.00925925925927</c:v>
                </c:pt>
                <c:pt idx="10">
                  <c:v>160.64814814814815</c:v>
                </c:pt>
                <c:pt idx="11">
                  <c:v>163.40211640211641</c:v>
                </c:pt>
                <c:pt idx="12">
                  <c:v>170.28703703703704</c:v>
                </c:pt>
                <c:pt idx="13">
                  <c:v>177.17195767195767</c:v>
                </c:pt>
                <c:pt idx="14">
                  <c:v>184.97486772486772</c:v>
                </c:pt>
                <c:pt idx="15">
                  <c:v>193.69576719576722</c:v>
                </c:pt>
                <c:pt idx="16">
                  <c:v>204.25264550264549</c:v>
                </c:pt>
                <c:pt idx="17">
                  <c:v>216.18650793650795</c:v>
                </c:pt>
                <c:pt idx="18">
                  <c:v>229.95634920634919</c:v>
                </c:pt>
                <c:pt idx="19">
                  <c:v>246.48015873015873</c:v>
                </c:pt>
                <c:pt idx="20">
                  <c:v>264.38095238095235</c:v>
                </c:pt>
                <c:pt idx="21">
                  <c:v>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251-40A9-B8C8-DD6E3F7C80B9}"/>
            </c:ext>
          </c:extLst>
        </c:ser>
        <c:ser>
          <c:idx val="7"/>
          <c:order val="7"/>
          <c:tx>
            <c:strRef>
              <c:f>Vergleich!$J$2</c:f>
              <c:strCache>
                <c:ptCount val="1"/>
                <c:pt idx="0">
                  <c:v>Mythos norm (Backer)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cat>
            <c:numRef>
              <c:f>Vergleich!$B$3:$B$24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Vergleich!$J$3:$J$24</c:f>
              <c:numCache>
                <c:formatCode>#,##0</c:formatCode>
                <c:ptCount val="22"/>
                <c:pt idx="0">
                  <c:v>0</c:v>
                </c:pt>
                <c:pt idx="1">
                  <c:v>48.804500703234879</c:v>
                </c:pt>
                <c:pt idx="2">
                  <c:v>97.609001406469758</c:v>
                </c:pt>
                <c:pt idx="3">
                  <c:v>146.41350210970464</c:v>
                </c:pt>
                <c:pt idx="4">
                  <c:v>157.55719643694326</c:v>
                </c:pt>
                <c:pt idx="5">
                  <c:v>168.70089076418188</c:v>
                </c:pt>
                <c:pt idx="6">
                  <c:v>179.84458509142053</c:v>
                </c:pt>
                <c:pt idx="7">
                  <c:v>190.98827941865915</c:v>
                </c:pt>
                <c:pt idx="8">
                  <c:v>202.13197374589777</c:v>
                </c:pt>
                <c:pt idx="9">
                  <c:v>213.27566807313639</c:v>
                </c:pt>
                <c:pt idx="10">
                  <c:v>224.41936240037501</c:v>
                </c:pt>
                <c:pt idx="11">
                  <c:v>235.56305672761363</c:v>
                </c:pt>
                <c:pt idx="12">
                  <c:v>246.70675105485225</c:v>
                </c:pt>
                <c:pt idx="13">
                  <c:v>257.85044538209087</c:v>
                </c:pt>
                <c:pt idx="14">
                  <c:v>268.99413970932949</c:v>
                </c:pt>
                <c:pt idx="15">
                  <c:v>280.13783403656817</c:v>
                </c:pt>
                <c:pt idx="16">
                  <c:v>291.28152836380679</c:v>
                </c:pt>
                <c:pt idx="17">
                  <c:v>302.42522269104546</c:v>
                </c:pt>
                <c:pt idx="18">
                  <c:v>313.56891701828408</c:v>
                </c:pt>
                <c:pt idx="19">
                  <c:v>324.71261134552276</c:v>
                </c:pt>
                <c:pt idx="20">
                  <c:v>335.85630567276144</c:v>
                </c:pt>
                <c:pt idx="21">
                  <c:v>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251-40A9-B8C8-DD6E3F7C80B9}"/>
            </c:ext>
          </c:extLst>
        </c:ser>
        <c:ser>
          <c:idx val="9"/>
          <c:order val="8"/>
          <c:tx>
            <c:strRef>
              <c:f>Vergleich!$L$2</c:f>
              <c:strCache>
                <c:ptCount val="1"/>
                <c:pt idx="0">
                  <c:v>DSK norm (Backer)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cat>
            <c:numRef>
              <c:f>Vergleich!$B$3:$B$24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Vergleich!$L$3:$L$24</c:f>
              <c:numCache>
                <c:formatCode>#,##0</c:formatCode>
                <c:ptCount val="22"/>
                <c:pt idx="0">
                  <c:v>0</c:v>
                </c:pt>
                <c:pt idx="1">
                  <c:v>103.14786585365853</c:v>
                </c:pt>
                <c:pt idx="2">
                  <c:v>123.24847560975608</c:v>
                </c:pt>
                <c:pt idx="3">
                  <c:v>131.1829268292683</c:v>
                </c:pt>
                <c:pt idx="4">
                  <c:v>139.64634146341464</c:v>
                </c:pt>
                <c:pt idx="5">
                  <c:v>148.10975609756096</c:v>
                </c:pt>
                <c:pt idx="6">
                  <c:v>155.51524390243904</c:v>
                </c:pt>
                <c:pt idx="7">
                  <c:v>162.92073170731706</c:v>
                </c:pt>
                <c:pt idx="8">
                  <c:v>171.91310975609755</c:v>
                </c:pt>
                <c:pt idx="9">
                  <c:v>185.13719512195124</c:v>
                </c:pt>
                <c:pt idx="10">
                  <c:v>195.1875</c:v>
                </c:pt>
                <c:pt idx="11">
                  <c:v>204.17987804878047</c:v>
                </c:pt>
                <c:pt idx="12">
                  <c:v>208.94054878048783</c:v>
                </c:pt>
                <c:pt idx="13">
                  <c:v>216.875</c:v>
                </c:pt>
                <c:pt idx="14">
                  <c:v>220.57774390243901</c:v>
                </c:pt>
                <c:pt idx="15">
                  <c:v>225.86737804878047</c:v>
                </c:pt>
                <c:pt idx="16">
                  <c:v>234.85975609756099</c:v>
                </c:pt>
                <c:pt idx="17">
                  <c:v>257.60518292682929</c:v>
                </c:pt>
                <c:pt idx="18">
                  <c:v>271.88719512195121</c:v>
                </c:pt>
                <c:pt idx="19">
                  <c:v>290.40091463414637</c:v>
                </c:pt>
                <c:pt idx="20">
                  <c:v>308.91463414634148</c:v>
                </c:pt>
                <c:pt idx="21">
                  <c:v>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251-40A9-B8C8-DD6E3F7C80B9}"/>
            </c:ext>
          </c:extLst>
        </c:ser>
        <c:ser>
          <c:idx val="11"/>
          <c:order val="11"/>
          <c:tx>
            <c:strRef>
              <c:f>Vergleich!$N$2</c:f>
              <c:strCache>
                <c:ptCount val="1"/>
                <c:pt idx="0">
                  <c:v>Mythen norm (Backer)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Vergleich!$N$3:$N$24</c:f>
              <c:numCache>
                <c:formatCode>#,##0</c:formatCode>
                <c:ptCount val="22"/>
                <c:pt idx="0">
                  <c:v>0</c:v>
                </c:pt>
                <c:pt idx="1">
                  <c:v>80.453629032258064</c:v>
                </c:pt>
                <c:pt idx="2">
                  <c:v>101.44153225806453</c:v>
                </c:pt>
                <c:pt idx="3">
                  <c:v>113.33467741935483</c:v>
                </c:pt>
                <c:pt idx="4">
                  <c:v>124.52822580645162</c:v>
                </c:pt>
                <c:pt idx="5">
                  <c:v>133.62298387096774</c:v>
                </c:pt>
                <c:pt idx="6">
                  <c:v>153.91129032258064</c:v>
                </c:pt>
                <c:pt idx="7">
                  <c:v>165.10483870967744</c:v>
                </c:pt>
                <c:pt idx="8">
                  <c:v>176.99798387096777</c:v>
                </c:pt>
                <c:pt idx="9">
                  <c:v>186.79233870967744</c:v>
                </c:pt>
                <c:pt idx="10">
                  <c:v>197.28629032258067</c:v>
                </c:pt>
                <c:pt idx="11">
                  <c:v>203.58266129032256</c:v>
                </c:pt>
                <c:pt idx="12">
                  <c:v>217.57459677419357</c:v>
                </c:pt>
                <c:pt idx="13">
                  <c:v>223.17137096774195</c:v>
                </c:pt>
                <c:pt idx="14">
                  <c:v>230.86693548387095</c:v>
                </c:pt>
                <c:pt idx="15">
                  <c:v>235.76411290322582</c:v>
                </c:pt>
                <c:pt idx="16">
                  <c:v>244.15927419354838</c:v>
                </c:pt>
                <c:pt idx="17">
                  <c:v>253.95362903225805</c:v>
                </c:pt>
                <c:pt idx="18">
                  <c:v>263.74798387096774</c:v>
                </c:pt>
                <c:pt idx="19">
                  <c:v>280.53830645161293</c:v>
                </c:pt>
                <c:pt idx="20">
                  <c:v>307.82258064516128</c:v>
                </c:pt>
                <c:pt idx="21">
                  <c:v>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E4-487C-B806-F0C4AB4B9284}"/>
            </c:ext>
          </c:extLst>
        </c:ser>
        <c:ser>
          <c:idx val="13"/>
          <c:order val="13"/>
          <c:tx>
            <c:v>SOK norm (Backer)</c:v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Vergleich!$P$3:$P$24</c:f>
              <c:numCache>
                <c:formatCode>#,##0</c:formatCode>
                <c:ptCount val="22"/>
                <c:pt idx="0">
                  <c:v>0</c:v>
                </c:pt>
                <c:pt idx="1">
                  <c:v>130.33353365384616</c:v>
                </c:pt>
                <c:pt idx="2">
                  <c:v>164.53305288461539</c:v>
                </c:pt>
                <c:pt idx="3">
                  <c:v>177.67067307692307</c:v>
                </c:pt>
                <c:pt idx="4">
                  <c:v>185.80348557692307</c:v>
                </c:pt>
                <c:pt idx="5">
                  <c:v>191.43389423076923</c:v>
                </c:pt>
                <c:pt idx="6">
                  <c:v>198.73257211538461</c:v>
                </c:pt>
                <c:pt idx="7">
                  <c:v>217.70913461538461</c:v>
                </c:pt>
                <c:pt idx="8">
                  <c:v>226.05048076923077</c:v>
                </c:pt>
                <c:pt idx="9">
                  <c:v>231.88942307692307</c:v>
                </c:pt>
                <c:pt idx="10">
                  <c:v>237.72836538461539</c:v>
                </c:pt>
                <c:pt idx="11">
                  <c:v>242.52463942307693</c:v>
                </c:pt>
                <c:pt idx="12">
                  <c:v>247.94651442307693</c:v>
                </c:pt>
                <c:pt idx="13">
                  <c:v>251.28305288461539</c:v>
                </c:pt>
                <c:pt idx="14">
                  <c:v>256.91346153846155</c:v>
                </c:pt>
                <c:pt idx="15">
                  <c:v>273.8046875</c:v>
                </c:pt>
                <c:pt idx="16">
                  <c:v>281.52043269230768</c:v>
                </c:pt>
                <c:pt idx="17">
                  <c:v>288.61057692307696</c:v>
                </c:pt>
                <c:pt idx="18">
                  <c:v>295.90925480769232</c:v>
                </c:pt>
                <c:pt idx="19">
                  <c:v>309.25540865384619</c:v>
                </c:pt>
                <c:pt idx="20">
                  <c:v>322.18449519230768</c:v>
                </c:pt>
                <c:pt idx="21">
                  <c:v>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38-4F48-9EE1-DAC7BB3A5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08600"/>
        <c:axId val="568508928"/>
      </c:lineChart>
      <c:catAx>
        <c:axId val="50264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2641912"/>
        <c:crosses val="autoZero"/>
        <c:auto val="1"/>
        <c:lblAlgn val="ctr"/>
        <c:lblOffset val="100"/>
        <c:noMultiLvlLbl val="0"/>
      </c:catAx>
      <c:valAx>
        <c:axId val="502641912"/>
        <c:scaling>
          <c:orientation val="minMax"/>
          <c:max val="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2644864"/>
        <c:crosses val="autoZero"/>
        <c:crossBetween val="between"/>
        <c:majorUnit val="5000"/>
      </c:valAx>
      <c:valAx>
        <c:axId val="568508928"/>
        <c:scaling>
          <c:orientation val="minMax"/>
          <c:max val="7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8508600"/>
        <c:crosses val="max"/>
        <c:crossBetween val="between"/>
        <c:majorUnit val="50"/>
      </c:valAx>
      <c:catAx>
        <c:axId val="568508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85089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image" Target="../media/image1.png"/><Relationship Id="rId7" Type="http://schemas.openxmlformats.org/officeDocument/2006/relationships/image" Target="../media/image3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https://hinter-dem-schwarzen-auge.de/links/" TargetMode="External"/><Relationship Id="rId5" Type="http://schemas.openxmlformats.org/officeDocument/2006/relationships/image" Target="../media/image2.jpg"/><Relationship Id="rId4" Type="http://schemas.openxmlformats.org/officeDocument/2006/relationships/hyperlink" Target="https://www.gameontabletop.com/cf901/die-schwarze-katze-schleichender-verfall.html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60854</xdr:colOff>
      <xdr:row>186</xdr:row>
      <xdr:rowOff>9259</xdr:rowOff>
    </xdr:from>
    <xdr:to>
      <xdr:col>12</xdr:col>
      <xdr:colOff>0</xdr:colOff>
      <xdr:row>198</xdr:row>
      <xdr:rowOff>104774</xdr:rowOff>
    </xdr:to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02A2DF1A-BAA4-4851-AB48-5B80266E9280}"/>
            </a:ext>
          </a:extLst>
        </xdr:cNvPr>
        <xdr:cNvSpPr txBox="1"/>
      </xdr:nvSpPr>
      <xdr:spPr>
        <a:xfrm>
          <a:off x="146579" y="52530109"/>
          <a:ext cx="14502871" cy="196241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chemeClr val="tx1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1" baseline="0"/>
            <a:t>Dieser Einkaufsführer ist eine rein private Geschichte und </a:t>
          </a:r>
          <a:r>
            <a:rPr lang="de-DE" sz="1400" b="1" u="sng" baseline="0"/>
            <a:t>ohne Gewähr</a:t>
          </a:r>
          <a:r>
            <a:rPr lang="de-DE" sz="1400" b="1" baseline="0"/>
            <a:t> auf Vollständigkeit und 100%ige Korrektheit!</a:t>
          </a:r>
        </a:p>
        <a:p>
          <a:endParaRPr lang="de-DE" sz="1400" b="1" baseline="0"/>
        </a:p>
        <a:p>
          <a:r>
            <a:rPr lang="de-DE" sz="1400" b="1" baseline="0"/>
            <a:t>Danke an Kai (4 Helden und 1 Schelm) für seinen großartigen Crawler :)</a:t>
          </a:r>
        </a:p>
        <a:p>
          <a:endParaRPr lang="de-DE" sz="800" b="1" baseline="0"/>
        </a:p>
        <a:p>
          <a:r>
            <a:rPr lang="de-DE" sz="1400" b="1" baseline="0"/>
            <a:t>Bei Fehlern meinerseits ist NICHT Ulisses dafür verantwortlich zu machen! Und ich bitte auch nicht ;)</a:t>
          </a:r>
        </a:p>
        <a:p>
          <a:r>
            <a:rPr lang="de-DE" sz="1400" b="1" baseline="0"/>
            <a:t>Ihr dürft mir Fehler aber sehr gerne in den CF-Kommentaren, in meinem Blog oder Discord, bei Facebook oder im Orkenspalter-Forum melden!</a:t>
          </a:r>
        </a:p>
        <a:p>
          <a:endParaRPr lang="de-DE" sz="800" b="1" baseline="0"/>
        </a:p>
        <a:p>
          <a:r>
            <a:rPr lang="de-DE" sz="1400" b="1" baseline="0"/>
            <a:t>Und nun gemeinsam auf ins Abenteuer!</a:t>
          </a:r>
        </a:p>
        <a:p>
          <a:r>
            <a:rPr lang="de-DE" sz="1400" b="1"/>
            <a:t>Euer GTStar	von Hinter dem Schwarzen Auge</a:t>
          </a:r>
          <a:r>
            <a:rPr lang="de-DE" sz="1400" b="1" baseline="0"/>
            <a:t> ...der DSA-Community-Podcast / DSA-Fantalk / DSA-Nachrichten in 2W20 Minuten / etc.</a:t>
          </a:r>
          <a:r>
            <a:rPr lang="de-DE" sz="1400" b="1"/>
            <a:t>					</a:t>
          </a:r>
          <a:r>
            <a:rPr lang="de-DE" sz="300" b="1"/>
            <a:t>Wer das liest ist neugierig ;)</a:t>
          </a:r>
        </a:p>
      </xdr:txBody>
    </xdr:sp>
    <xdr:clientData/>
  </xdr:twoCellAnchor>
  <xdr:twoCellAnchor>
    <xdr:from>
      <xdr:col>1</xdr:col>
      <xdr:colOff>71436</xdr:colOff>
      <xdr:row>137</xdr:row>
      <xdr:rowOff>105832</xdr:rowOff>
    </xdr:from>
    <xdr:to>
      <xdr:col>3</xdr:col>
      <xdr:colOff>1369218</xdr:colOff>
      <xdr:row>160</xdr:row>
      <xdr:rowOff>180975</xdr:rowOff>
    </xdr:to>
    <xdr:graphicFrame macro="">
      <xdr:nvGraphicFramePr>
        <xdr:cNvPr id="44" name="Diagramm 43">
          <a:extLst>
            <a:ext uri="{FF2B5EF4-FFF2-40B4-BE49-F238E27FC236}">
              <a16:creationId xmlns:a16="http://schemas.microsoft.com/office/drawing/2014/main" id="{A89B5485-9BAF-4F11-ABE9-4732FBF57D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691753</xdr:colOff>
      <xdr:row>186</xdr:row>
      <xdr:rowOff>192880</xdr:rowOff>
    </xdr:from>
    <xdr:to>
      <xdr:col>86</xdr:col>
      <xdr:colOff>247650</xdr:colOff>
      <xdr:row>229</xdr:row>
      <xdr:rowOff>71437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C027FC00-2D44-44A3-9880-9030337ECD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9</xdr:col>
      <xdr:colOff>271195</xdr:colOff>
      <xdr:row>11</xdr:row>
      <xdr:rowOff>184372</xdr:rowOff>
    </xdr:from>
    <xdr:ext cx="320386" cy="315864"/>
    <xdr:pic>
      <xdr:nvPicPr>
        <xdr:cNvPr id="17" name="Grafik 16" descr="Loddari">
          <a:extLst>
            <a:ext uri="{FF2B5EF4-FFF2-40B4-BE49-F238E27FC236}">
              <a16:creationId xmlns:a16="http://schemas.microsoft.com/office/drawing/2014/main" id="{BCE75B0C-79E2-4638-A4D7-190FDB6D9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4726" y="3791966"/>
          <a:ext cx="320386" cy="31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254528</xdr:colOff>
      <xdr:row>11</xdr:row>
      <xdr:rowOff>184372</xdr:rowOff>
    </xdr:from>
    <xdr:ext cx="320386" cy="315864"/>
    <xdr:pic>
      <xdr:nvPicPr>
        <xdr:cNvPr id="22" name="Grafik 21" descr="Loddari">
          <a:extLst>
            <a:ext uri="{FF2B5EF4-FFF2-40B4-BE49-F238E27FC236}">
              <a16:creationId xmlns:a16="http://schemas.microsoft.com/office/drawing/2014/main" id="{4E4AD2F2-0C19-4299-BB79-557A49EA1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01497" y="3791966"/>
          <a:ext cx="320386" cy="31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230716</xdr:colOff>
      <xdr:row>11</xdr:row>
      <xdr:rowOff>184372</xdr:rowOff>
    </xdr:from>
    <xdr:ext cx="320386" cy="315864"/>
    <xdr:pic>
      <xdr:nvPicPr>
        <xdr:cNvPr id="25" name="Grafik 24" descr="Loddari">
          <a:extLst>
            <a:ext uri="{FF2B5EF4-FFF2-40B4-BE49-F238E27FC236}">
              <a16:creationId xmlns:a16="http://schemas.microsoft.com/office/drawing/2014/main" id="{432B59F2-1A4E-4301-9D16-C6DB55005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11122" y="3791966"/>
          <a:ext cx="320386" cy="31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904876</xdr:colOff>
      <xdr:row>93</xdr:row>
      <xdr:rowOff>173831</xdr:rowOff>
    </xdr:from>
    <xdr:ext cx="320386" cy="315864"/>
    <xdr:pic>
      <xdr:nvPicPr>
        <xdr:cNvPr id="47" name="Grafik 46" descr="Loddari">
          <a:extLst>
            <a:ext uri="{FF2B5EF4-FFF2-40B4-BE49-F238E27FC236}">
              <a16:creationId xmlns:a16="http://schemas.microsoft.com/office/drawing/2014/main" id="{07B648B9-19E8-4DDD-A72F-435488603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6" y="18357056"/>
          <a:ext cx="320386" cy="31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248702</xdr:colOff>
      <xdr:row>11</xdr:row>
      <xdr:rowOff>184372</xdr:rowOff>
    </xdr:from>
    <xdr:ext cx="320386" cy="315864"/>
    <xdr:pic>
      <xdr:nvPicPr>
        <xdr:cNvPr id="35" name="Grafik 34" descr="Loddari">
          <a:extLst>
            <a:ext uri="{FF2B5EF4-FFF2-40B4-BE49-F238E27FC236}">
              <a16:creationId xmlns:a16="http://schemas.microsoft.com/office/drawing/2014/main" id="{C6E70D87-D40B-493F-8690-FA9090D4C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8796" y="3791966"/>
          <a:ext cx="320386" cy="31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230716</xdr:colOff>
      <xdr:row>11</xdr:row>
      <xdr:rowOff>184372</xdr:rowOff>
    </xdr:from>
    <xdr:ext cx="320386" cy="315864"/>
    <xdr:pic>
      <xdr:nvPicPr>
        <xdr:cNvPr id="29" name="Grafik 28" descr="Loddari">
          <a:extLst>
            <a:ext uri="{FF2B5EF4-FFF2-40B4-BE49-F238E27FC236}">
              <a16:creationId xmlns:a16="http://schemas.microsoft.com/office/drawing/2014/main" id="{787F8ED3-24F0-49B7-80D1-BFE7599C1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3935" y="3791966"/>
          <a:ext cx="320386" cy="31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1885950</xdr:colOff>
      <xdr:row>7</xdr:row>
      <xdr:rowOff>247648</xdr:rowOff>
    </xdr:from>
    <xdr:to>
      <xdr:col>2</xdr:col>
      <xdr:colOff>5829300</xdr:colOff>
      <xdr:row>13</xdr:row>
      <xdr:rowOff>186872</xdr:rowOff>
    </xdr:to>
    <xdr:pic>
      <xdr:nvPicPr>
        <xdr:cNvPr id="3" name="Grafik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CA4ED34-F031-4EB8-F395-D675C6468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14700" y="990598"/>
          <a:ext cx="3943350" cy="2634799"/>
        </a:xfrm>
        <a:prstGeom prst="rect">
          <a:avLst/>
        </a:prstGeom>
      </xdr:spPr>
    </xdr:pic>
    <xdr:clientData/>
  </xdr:twoCellAnchor>
  <xdr:twoCellAnchor editAs="oneCell">
    <xdr:from>
      <xdr:col>13</xdr:col>
      <xdr:colOff>333374</xdr:colOff>
      <xdr:row>7</xdr:row>
      <xdr:rowOff>19051</xdr:rowOff>
    </xdr:from>
    <xdr:to>
      <xdr:col>14</xdr:col>
      <xdr:colOff>2009774</xdr:colOff>
      <xdr:row>11</xdr:row>
      <xdr:rowOff>466421</xdr:rowOff>
    </xdr:to>
    <xdr:pic>
      <xdr:nvPicPr>
        <xdr:cNvPr id="8" name="Grafik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C26D25F-E4C2-E93D-C2EF-7F37FC8BB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64049" y="762001"/>
          <a:ext cx="2390775" cy="2209495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162</xdr:row>
      <xdr:rowOff>0</xdr:rowOff>
    </xdr:from>
    <xdr:to>
      <xdr:col>3</xdr:col>
      <xdr:colOff>1373982</xdr:colOff>
      <xdr:row>185</xdr:row>
      <xdr:rowOff>178593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831F1DF-23B1-4198-9721-9B78D3C52F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7</xdr:col>
      <xdr:colOff>250031</xdr:colOff>
      <xdr:row>11</xdr:row>
      <xdr:rowOff>184372</xdr:rowOff>
    </xdr:from>
    <xdr:ext cx="320386" cy="315864"/>
    <xdr:pic>
      <xdr:nvPicPr>
        <xdr:cNvPr id="6" name="Grafik 5" descr="Loddari">
          <a:extLst>
            <a:ext uri="{FF2B5EF4-FFF2-40B4-BE49-F238E27FC236}">
              <a16:creationId xmlns:a16="http://schemas.microsoft.com/office/drawing/2014/main" id="{C9E23EBA-D42F-4F95-8F50-66087AA00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6687" y="3791966"/>
          <a:ext cx="320386" cy="31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723899</xdr:colOff>
      <xdr:row>27</xdr:row>
      <xdr:rowOff>33336</xdr:rowOff>
    </xdr:from>
    <xdr:to>
      <xdr:col>19</xdr:col>
      <xdr:colOff>714374</xdr:colOff>
      <xdr:row>52</xdr:row>
      <xdr:rowOff>57149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386C9BA-881E-46C9-8576-20415BCC75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FE6C9E0-F6F6-45FF-A5D1-EBE4C7FC0B79}" name="Tabelle2" displayName="Tabelle2" ref="G16:J37" totalsRowShown="0" headerRowDxfId="47" dataDxfId="46" tableBorderDxfId="45">
  <autoFilter ref="G16:J37" xr:uid="{7E5D117A-5BCD-41C7-9378-1146F36C69B4}"/>
  <sortState xmlns:xlrd2="http://schemas.microsoft.com/office/spreadsheetml/2017/richdata2" ref="G17:J37">
    <sortCondition descending="1" ref="H16:H37"/>
  </sortState>
  <tableColumns count="4">
    <tableColumn id="1" xr3:uid="{3BF4B4A5-763F-44D6-82F2-633AF2B5A661}" name="Tag" dataDxfId="44"/>
    <tableColumn id="2" xr3:uid="{C2C59895-AB02-4E18-B5B3-A6018F118014}" name="€" dataDxfId="43">
      <calculatedColumnFormula>VLOOKUP(G17,$T$139:$AD$160,11,FALSE)</calculatedColumnFormula>
    </tableColumn>
    <tableColumn id="3" xr3:uid="{E1A7CA4C-C663-4044-B496-19D15B31B27D}" name="Backer" dataDxfId="42">
      <calculatedColumnFormula>VLOOKUP(G17,$T$139:$AC$160,10,FALSE)</calculatedColumnFormula>
    </tableColumn>
    <tableColumn id="4" xr3:uid="{628BDD77-5B3E-47FF-80AF-C00DB68B39F0}" name="€/Backer" dataDxfId="41">
      <calculatedColumnFormula>IFERROR(Tabelle2[[#This Row],[€]]/Tabelle2[[#This Row],[Backer]],"")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6EA9654-149B-455B-B037-D0C330FFD6EF}" name="Tabelle3" displayName="Tabelle3" ref="B2:AP24" totalsRowShown="0" headerRowDxfId="40">
  <autoFilter ref="B2:AP24" xr:uid="{27422959-90AD-4338-8C23-E3B9F7316881}"/>
  <tableColumns count="41">
    <tableColumn id="1" xr3:uid="{F20F49F8-6EB7-43C1-9922-F620A023E7F0}" name="Tag"/>
    <tableColumn id="2" xr3:uid="{6971CB83-29C8-475B-A31E-D387F03E1C07}" name="Nedime (€)" dataDxfId="39"/>
    <tableColumn id="3" xr3:uid="{F664882F-3BD9-41DE-A643-1C890FC1B073}" name="Nedime (Backer)" dataDxfId="38"/>
    <tableColumn id="4" xr3:uid="{6F8F036B-D5DC-4216-84F0-2BEBB08CBACA}" name="Thorwal norm (€)" dataDxfId="37"/>
    <tableColumn id="5" xr3:uid="{FD2FB521-94BA-46E4-A5EA-A7CEFF140F9A}" name="Thorwal norm (Backer)" dataDxfId="36"/>
    <tableColumn id="6" xr3:uid="{25BEFAD5-BE69-4A80-ABD3-5577E99AE16C}" name="Werkzeuge norm (€)" dataDxfId="35"/>
    <tableColumn id="7" xr3:uid="{AF4584B6-52C3-49C8-9E39-F43C0B8FEB14}" name="Werkzeuge norm (Backer)" dataDxfId="34"/>
    <tableColumn id="22" xr3:uid="{266EF583-8DD5-4805-B391-903ED2BAC519}" name="Mythos norm (€)" dataDxfId="33"/>
    <tableColumn id="23" xr3:uid="{3AB32905-68A3-4D5A-B37B-E5533823CB41}" name="Mythos norm (Backer)" dataDxfId="32"/>
    <tableColumn id="28" xr3:uid="{48AFB569-0998-4E2C-8C85-86F96730174E}" name="DSK norm (€)" dataDxfId="31"/>
    <tableColumn id="27" xr3:uid="{E47209D4-64AB-4094-A811-0DF73184FDC3}" name="DSK norm (Backer)" dataDxfId="30"/>
    <tableColumn id="30" xr3:uid="{1CA79BBE-302A-4822-AE79-917DFA78E074}" name="Mythen norm (€)" dataDxfId="29"/>
    <tableColumn id="31" xr3:uid="{6670A725-1507-4497-9A0C-43A65D0B6954}" name="Mythen norm (Backer)" dataDxfId="28"/>
    <tableColumn id="36" xr3:uid="{2953A814-9630-4F7F-9B69-5E63A7325641}" name="SOK norm (€)" dataDxfId="27"/>
    <tableColumn id="37" xr3:uid="{3770DD86-5295-4580-8942-09F337054C13}" name="SOK norm (Backer)" dataDxfId="26"/>
    <tableColumn id="8" xr3:uid="{2114D7A1-DEA0-40EE-9B8B-0A668EFEB97B}" name="Thorwal (€)" dataDxfId="25"/>
    <tableColumn id="9" xr3:uid="{9A9EB59B-6CA6-4F08-B68D-0962E0D83338}" name="Thorwal (Backer)" dataDxfId="24"/>
    <tableColumn id="10" xr3:uid="{DF5363C3-935A-49F1-B72D-9DF733CE4302}" name="Werkzeuge (€)" dataDxfId="23"/>
    <tableColumn id="11" xr3:uid="{4CFD1B7C-52BE-49FD-B7F5-1D7A36D73889}" name="Werkzeuge (Backer)" dataDxfId="22"/>
    <tableColumn id="18" xr3:uid="{C732132C-C661-400E-A33E-810D292F34AA}" name="Mythos (€)" dataDxfId="21"/>
    <tableColumn id="19" xr3:uid="{90EA6656-0F6B-435F-8A50-D1F413A22B34}" name="Mythos (Backer)" dataDxfId="20"/>
    <tableColumn id="26" xr3:uid="{F4AEE733-FE50-4D43-B8B6-2CFA99AA7EE6}" name="DSK (€)" dataDxfId="19"/>
    <tableColumn id="29" xr3:uid="{519C5630-D167-4EFA-B84F-F9BC19E907B3}" name="DSK (Backer)" dataDxfId="18"/>
    <tableColumn id="20" xr3:uid="{C33B8766-778A-4CBA-B6CD-11F696D9BF3F}" name="Mythen (€)" dataDxfId="17"/>
    <tableColumn id="21" xr3:uid="{7FE9A82A-5A08-46A8-A0C2-586311B74BB6}" name="Mythen (Backer)" dataDxfId="16"/>
    <tableColumn id="34" xr3:uid="{ECB31B1D-5FD5-4EF9-871C-99A9FFBB4E6B}" name="SOK (€)" dataDxfId="15"/>
    <tableColumn id="35" xr3:uid="{1E34A881-32F6-48DB-8A12-F2F7F315C3B2}" name="SOK (Backer)" dataDxfId="14"/>
    <tableColumn id="32" xr3:uid="{E4B16DC1-4EE4-4038-B4B5-B981FD62F8EA}" name="RE (€)" dataDxfId="13">
      <calculatedColumnFormula>'Schleichender Verfall'!BH139</calculatedColumnFormula>
    </tableColumn>
    <tableColumn id="33" xr3:uid="{8EB42BB1-C038-48A6-A211-78A44E799A6C}" name="RE (Backer)" dataDxfId="12">
      <calculatedColumnFormula>'Schleichender Verfall'!BI139</calculatedColumnFormula>
    </tableColumn>
    <tableColumn id="40" xr3:uid="{15EAF542-B790-46E0-8A04-B457DA3DD121}" name="DGG (€)" dataDxfId="11"/>
    <tableColumn id="41" xr3:uid="{F200E9A2-EF31-4DA6-9957-E942AB0C08B8}" name="DGG (Backer)" dataDxfId="10"/>
    <tableColumn id="38" xr3:uid="{1AF87199-875A-4AB9-9AC0-88E8D7A82669}" name="DSV (€)" dataDxfId="9"/>
    <tableColumn id="39" xr3:uid="{1B706C0D-84D1-42A8-B0AB-701DEC761DD3}" name="DSV (Backer)" dataDxfId="8"/>
    <tableColumn id="12" xr3:uid="{CE532E56-7537-4234-994D-EF5975A2D3B8}" name="Aventuria (€) %" dataDxfId="7">
      <calculatedColumnFormula>Tabelle3[[#This Row],[Nedime (€)]]/C$24</calculatedColumnFormula>
    </tableColumn>
    <tableColumn id="13" xr3:uid="{6E91BB61-A019-4B20-A7F5-D01EA616EE80}" name="Aventuria (Backer) %" dataDxfId="6">
      <calculatedColumnFormula>Tabelle3[[#This Row],[Nedime (Backer)]]/D$24</calculatedColumnFormula>
    </tableColumn>
    <tableColumn id="14" xr3:uid="{FBF481DA-2BF3-4C7F-8B01-5CB18A4093B2}" name="Thorwal (€) %" dataDxfId="5">
      <calculatedColumnFormula>Tabelle3[[#This Row],[Thorwal (€)]]/Q$24</calculatedColumnFormula>
    </tableColumn>
    <tableColumn id="15" xr3:uid="{B21023AA-7241-4A20-9F45-D78A9ACC5244}" name="Thorwal (Backer) %" dataDxfId="4">
      <calculatedColumnFormula>Tabelle3[[#This Row],[Thorwal (Backer)]]/R$24</calculatedColumnFormula>
    </tableColumn>
    <tableColumn id="16" xr3:uid="{DC7AD9E1-E99C-4261-9C20-A1E356A99AC0}" name="Werkzeuge (€) %" dataDxfId="3">
      <calculatedColumnFormula>Tabelle3[[#This Row],[Werkzeuge (€)]]/S$24</calculatedColumnFormula>
    </tableColumn>
    <tableColumn id="17" xr3:uid="{BB027685-5D11-4F55-81EA-63B2D41CE363}" name="Werkzeuge (Backer) %" dataDxfId="2">
      <calculatedColumnFormula>Tabelle3[[#This Row],[Werkzeuge (Backer)]]/T$24</calculatedColumnFormula>
    </tableColumn>
    <tableColumn id="24" xr3:uid="{A23C8788-EEA7-4461-8240-391ABED3EBA3}" name="Mythos (€) %" dataDxfId="1">
      <calculatedColumnFormula>Tabelle3[[#This Row],[Mythos (€)]]/U$24</calculatedColumnFormula>
    </tableColumn>
    <tableColumn id="25" xr3:uid="{5DE909DD-E845-49F6-9E9A-EA884B351553}" name="Mthos (Backer) %" dataDxfId="0">
      <calculatedColumnFormula>Tabelle3[[#This Row],[Mythos (Backer)]]/V$24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hinter-dem-schwarzen-auge.de/links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gameontabletop.com/cf901/die-schwarze-katze-schleichender-verfall.html" TargetMode="External"/><Relationship Id="rId1" Type="http://schemas.openxmlformats.org/officeDocument/2006/relationships/hyperlink" Target="https://hinter-dem-schwarzen-auge.de/link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hinter-dem-schwarzen-auge.de/support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s://hinter-dem-schwarzen-auge.de/support" TargetMode="External"/><Relationship Id="rId9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4982B-0226-4FC4-B481-9BD26DD7F965}">
  <sheetPr>
    <pageSetUpPr fitToPage="1"/>
  </sheetPr>
  <dimension ref="A1:DM230"/>
  <sheetViews>
    <sheetView showGridLines="0" showZeros="0" tabSelected="1" zoomScaleNormal="100" workbookViewId="0">
      <pane xSplit="4" ySplit="15" topLeftCell="E39" activePane="bottomRight" state="frozen"/>
      <selection pane="topRight" activeCell="F1" sqref="F1"/>
      <selection pane="bottomLeft" activeCell="A6" sqref="A6"/>
      <selection pane="bottomRight" activeCell="I3" sqref="I3"/>
    </sheetView>
  </sheetViews>
  <sheetFormatPr baseColWidth="10" defaultRowHeight="18.75" outlineLevelRow="1" outlineLevelCol="2" x14ac:dyDescent="0.3"/>
  <cols>
    <col min="1" max="1" width="1.28515625" style="204" customWidth="1"/>
    <col min="2" max="2" width="20.140625" style="178" customWidth="1"/>
    <col min="3" max="3" width="89.7109375" style="104" customWidth="1"/>
    <col min="4" max="4" width="31.140625" style="104" customWidth="1"/>
    <col min="5" max="5" width="12.42578125" style="179" customWidth="1"/>
    <col min="6" max="6" width="12.42578125" style="228" customWidth="1"/>
    <col min="7" max="12" width="12.42578125" style="179" customWidth="1"/>
    <col min="13" max="13" width="10.7109375" style="180" customWidth="1"/>
    <col min="14" max="14" width="10.7109375" style="181" customWidth="1"/>
    <col min="15" max="15" width="47" style="182" bestFit="1" customWidth="1"/>
    <col min="16" max="17" width="10.140625" style="182" customWidth="1"/>
    <col min="18" max="18" width="11.42578125" style="191" hidden="1" customWidth="1" outlineLevel="2"/>
    <col min="19" max="23" width="11.42578125" style="43" hidden="1" customWidth="1" outlineLevel="1"/>
    <col min="24" max="24" width="6.140625" style="43" hidden="1" customWidth="1" outlineLevel="2"/>
    <col min="25" max="25" width="7.28515625" style="43" hidden="1" customWidth="1" outlineLevel="1"/>
    <col min="26" max="26" width="9.28515625" style="43" hidden="1" customWidth="1" outlineLevel="2"/>
    <col min="27" max="27" width="12.5703125" style="43" hidden="1" customWidth="1" outlineLevel="1"/>
    <col min="28" max="30" width="11.42578125" style="43" hidden="1" customWidth="1" outlineLevel="1"/>
    <col min="31" max="31" width="11.42578125" style="44" hidden="1" customWidth="1" outlineLevel="1"/>
    <col min="32" max="33" width="11.42578125" style="43" hidden="1" customWidth="1" outlineLevel="1"/>
    <col min="34" max="34" width="11.42578125" style="291" hidden="1" customWidth="1" outlineLevel="1"/>
    <col min="35" max="35" width="11.42578125" style="43" hidden="1" customWidth="1" outlineLevel="1"/>
    <col min="36" max="36" width="11.42578125" style="291" hidden="1" customWidth="1" outlineLevel="1"/>
    <col min="37" max="41" width="11.42578125" style="43" hidden="1" customWidth="1" outlineLevel="1"/>
    <col min="42" max="42" width="14" style="43" hidden="1" customWidth="1" outlineLevel="1"/>
    <col min="43" max="45" width="11.42578125" style="59" hidden="1" customWidth="1" outlineLevel="1"/>
    <col min="46" max="46" width="11.42578125" style="43" hidden="1" customWidth="1" outlineLevel="1"/>
    <col min="47" max="49" width="11.42578125" style="59" hidden="1" customWidth="1" outlineLevel="1"/>
    <col min="50" max="77" width="11.42578125" style="43" hidden="1" customWidth="1" outlineLevel="1"/>
    <col min="78" max="79" width="11.42578125" style="44" hidden="1" customWidth="1" outlineLevel="1"/>
    <col min="80" max="81" width="11.42578125" style="43" hidden="1" customWidth="1" outlineLevel="1"/>
    <col min="82" max="83" width="11.42578125" style="44" hidden="1" customWidth="1" outlineLevel="1"/>
    <col min="84" max="85" width="11.42578125" style="43" hidden="1" customWidth="1" outlineLevel="1"/>
    <col min="86" max="87" width="11.42578125" style="44" hidden="1" customWidth="1" outlineLevel="1"/>
    <col min="88" max="88" width="11.28515625" style="43" hidden="1" customWidth="1" outlineLevel="1"/>
    <col min="89" max="90" width="11.42578125" style="43" hidden="1" customWidth="1" outlineLevel="1"/>
    <col min="91" max="92" width="11.42578125" style="44" hidden="1" customWidth="1" outlineLevel="1"/>
    <col min="93" max="93" width="11.42578125" style="45" hidden="1" customWidth="1" outlineLevel="1"/>
    <col min="94" max="94" width="11.42578125" style="43" hidden="1" customWidth="1" outlineLevel="1"/>
    <col min="95" max="95" width="11.42578125" style="204" collapsed="1"/>
    <col min="96" max="113" width="11.42578125" style="204"/>
    <col min="114" max="16384" width="11.42578125" style="104"/>
  </cols>
  <sheetData>
    <row r="1" spans="1:117" s="43" customFormat="1" ht="19.5" hidden="1" customHeight="1" outlineLevel="1" thickBot="1" x14ac:dyDescent="0.35">
      <c r="B1" s="276"/>
      <c r="C1" s="61"/>
      <c r="D1" s="62"/>
      <c r="E1" s="64" t="s">
        <v>20</v>
      </c>
      <c r="G1" s="68">
        <v>19</v>
      </c>
      <c r="H1" s="64" t="s">
        <v>19</v>
      </c>
      <c r="I1" s="65">
        <v>115733</v>
      </c>
      <c r="J1" s="38" t="s">
        <v>21</v>
      </c>
      <c r="K1" s="73"/>
      <c r="L1" s="81" t="s">
        <v>100</v>
      </c>
      <c r="M1" s="277"/>
      <c r="N1" s="278"/>
      <c r="R1" s="1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373"/>
      <c r="AI1" s="106"/>
      <c r="AJ1" s="373"/>
      <c r="AK1" s="106"/>
      <c r="AL1" s="106"/>
      <c r="AM1" s="106"/>
      <c r="AN1" s="106"/>
      <c r="AO1" s="106"/>
      <c r="AP1" s="91"/>
      <c r="AQ1" s="91"/>
      <c r="AR1" s="91"/>
      <c r="AS1" s="59"/>
      <c r="AU1" s="59"/>
      <c r="AV1" s="59"/>
      <c r="AW1" s="59"/>
      <c r="BZ1" s="44"/>
      <c r="CA1" s="44"/>
      <c r="CD1" s="44"/>
      <c r="CE1" s="44"/>
      <c r="CH1" s="44"/>
      <c r="CI1" s="44"/>
      <c r="CM1" s="44"/>
      <c r="CN1" s="44"/>
      <c r="CO1" s="45"/>
    </row>
    <row r="2" spans="1:117" s="43" customFormat="1" ht="19.5" hidden="1" customHeight="1" outlineLevel="1" thickBot="1" x14ac:dyDescent="0.35">
      <c r="B2" s="276"/>
      <c r="E2" s="64" t="s">
        <v>17</v>
      </c>
      <c r="G2" s="75">
        <v>44966</v>
      </c>
      <c r="H2" s="64" t="s">
        <v>18</v>
      </c>
      <c r="I2" s="68">
        <v>645</v>
      </c>
      <c r="J2" s="69" t="s">
        <v>34</v>
      </c>
      <c r="K2" s="76">
        <v>21</v>
      </c>
      <c r="L2" s="85">
        <f>SUM(F13:L13)</f>
        <v>653</v>
      </c>
      <c r="M2" s="277"/>
      <c r="N2" s="278"/>
      <c r="P2" s="204"/>
      <c r="Q2" s="204"/>
      <c r="R2" s="1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373"/>
      <c r="AI2" s="106"/>
      <c r="AJ2" s="373"/>
      <c r="AK2" s="106"/>
      <c r="AL2" s="106"/>
      <c r="AM2" s="106"/>
      <c r="AN2" s="106"/>
      <c r="AO2" s="106"/>
      <c r="AP2" s="91"/>
      <c r="AQ2" s="91"/>
      <c r="AR2" s="91"/>
      <c r="AS2" s="59"/>
      <c r="AU2" s="59"/>
      <c r="AV2" s="59"/>
      <c r="AW2" s="59"/>
      <c r="BZ2" s="44"/>
      <c r="CA2" s="44"/>
      <c r="CD2" s="44"/>
      <c r="CE2" s="44"/>
      <c r="CH2" s="44"/>
      <c r="CI2" s="44"/>
      <c r="CM2" s="44"/>
      <c r="CN2" s="44"/>
      <c r="CO2" s="45"/>
    </row>
    <row r="3" spans="1:117" s="43" customFormat="1" ht="19.5" hidden="1" customHeight="1" outlineLevel="1" thickBot="1" x14ac:dyDescent="0.35">
      <c r="B3" s="276"/>
      <c r="E3" s="64" t="s">
        <v>37</v>
      </c>
      <c r="G3" s="73" t="s">
        <v>383</v>
      </c>
      <c r="H3" s="64" t="s">
        <v>147</v>
      </c>
      <c r="I3" s="71">
        <f>I1/I2</f>
        <v>179.43100775193798</v>
      </c>
      <c r="J3" s="69"/>
      <c r="K3" s="69"/>
      <c r="L3" s="279">
        <f>L2-I2</f>
        <v>8</v>
      </c>
      <c r="M3" s="277"/>
      <c r="N3" s="278"/>
      <c r="P3" s="204"/>
      <c r="Q3" s="204"/>
      <c r="R3" s="1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373"/>
      <c r="AI3" s="106"/>
      <c r="AJ3" s="373"/>
      <c r="AK3" s="106"/>
      <c r="AL3" s="106"/>
      <c r="AM3" s="106"/>
      <c r="AN3" s="106"/>
      <c r="AO3" s="106"/>
      <c r="AP3" s="91"/>
      <c r="AQ3" s="91"/>
      <c r="AR3" s="91"/>
      <c r="AS3" s="59"/>
      <c r="AU3" s="59"/>
      <c r="AV3" s="59"/>
      <c r="AW3" s="59"/>
      <c r="BZ3" s="44"/>
      <c r="CA3" s="44"/>
      <c r="CD3" s="44"/>
      <c r="CE3" s="44"/>
      <c r="CH3" s="44"/>
      <c r="CI3" s="44"/>
      <c r="CM3" s="44"/>
      <c r="CN3" s="44"/>
      <c r="CO3" s="45"/>
    </row>
    <row r="4" spans="1:117" s="43" customFormat="1" ht="19.5" hidden="1" customHeight="1" outlineLevel="1" thickBot="1" x14ac:dyDescent="0.35">
      <c r="B4" s="276"/>
      <c r="E4" s="69"/>
      <c r="M4" s="277"/>
      <c r="N4" s="278"/>
      <c r="P4" s="204"/>
      <c r="Q4" s="204"/>
      <c r="R4" s="1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373"/>
      <c r="AI4" s="106"/>
      <c r="AJ4" s="373"/>
      <c r="AK4" s="106"/>
      <c r="AL4" s="106"/>
      <c r="AM4" s="106"/>
      <c r="AN4" s="106"/>
      <c r="AO4" s="106"/>
      <c r="AP4" s="91"/>
      <c r="AQ4" s="91"/>
      <c r="AR4" s="91"/>
      <c r="AS4" s="59"/>
      <c r="AU4" s="59"/>
      <c r="AV4" s="59"/>
      <c r="AW4" s="59"/>
      <c r="BZ4" s="44"/>
      <c r="CA4" s="44"/>
      <c r="CD4" s="44"/>
      <c r="CE4" s="44"/>
      <c r="CH4" s="44"/>
      <c r="CI4" s="44"/>
      <c r="CM4" s="44"/>
      <c r="CN4" s="44"/>
      <c r="CO4" s="45"/>
    </row>
    <row r="5" spans="1:117" s="2" customFormat="1" ht="21" collapsed="1" thickBot="1" x14ac:dyDescent="0.35">
      <c r="A5" s="204"/>
      <c r="B5" s="465" t="s">
        <v>326</v>
      </c>
      <c r="C5" s="466"/>
      <c r="D5" s="466"/>
      <c r="E5" s="466"/>
      <c r="F5" s="466"/>
      <c r="G5" s="466"/>
      <c r="H5" s="466"/>
      <c r="I5" s="466"/>
      <c r="J5" s="466"/>
      <c r="K5" s="466"/>
      <c r="L5" s="467"/>
      <c r="M5" s="470" t="s">
        <v>327</v>
      </c>
      <c r="N5" s="470"/>
      <c r="O5" s="470"/>
      <c r="P5" s="204"/>
      <c r="Q5" s="204"/>
      <c r="R5" s="185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373"/>
      <c r="AI5" s="106"/>
      <c r="AJ5" s="373"/>
      <c r="AK5" s="106"/>
      <c r="AL5" s="106"/>
      <c r="AM5" s="106"/>
      <c r="AN5" s="106"/>
      <c r="AO5" s="106"/>
      <c r="AP5" s="91"/>
      <c r="AQ5" s="91"/>
      <c r="AR5" s="91"/>
      <c r="AS5" s="59"/>
      <c r="AT5" s="43"/>
      <c r="AU5" s="43"/>
      <c r="AV5" s="43"/>
      <c r="AW5" s="59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4"/>
      <c r="CA5" s="44"/>
      <c r="CB5" s="43"/>
      <c r="CC5" s="43"/>
      <c r="CD5" s="44"/>
      <c r="CE5" s="44"/>
      <c r="CF5" s="43"/>
      <c r="CG5" s="43"/>
      <c r="CH5" s="44"/>
      <c r="CI5" s="44"/>
      <c r="CJ5" s="43"/>
      <c r="CK5" s="43"/>
      <c r="CL5" s="43"/>
      <c r="CM5" s="44"/>
      <c r="CN5" s="44"/>
      <c r="CO5" s="45"/>
      <c r="CP5" s="43"/>
      <c r="CQ5" s="204"/>
      <c r="CR5" s="204"/>
      <c r="CS5" s="204"/>
      <c r="CT5" s="204"/>
      <c r="CU5" s="204"/>
      <c r="CV5" s="204"/>
      <c r="CW5" s="204"/>
      <c r="CX5" s="204"/>
      <c r="CY5" s="204"/>
      <c r="CZ5" s="204"/>
      <c r="DA5" s="204"/>
      <c r="DB5" s="204"/>
      <c r="DC5" s="204"/>
      <c r="DD5" s="204"/>
      <c r="DE5" s="204"/>
      <c r="DF5" s="204"/>
      <c r="DG5" s="204"/>
      <c r="DH5" s="204"/>
      <c r="DI5" s="204"/>
      <c r="DJ5" s="204"/>
      <c r="DK5" s="204"/>
      <c r="DL5" s="204"/>
      <c r="DM5" s="204"/>
    </row>
    <row r="6" spans="1:117" s="2" customFormat="1" x14ac:dyDescent="0.3">
      <c r="A6" s="204"/>
      <c r="B6" s="205" t="s">
        <v>382</v>
      </c>
      <c r="C6" s="471" t="str">
        <f>"Finaler Stand: "&amp;TEXT(I1,"#.##0")&amp;" € / "&amp;TEXT(I2,"#.##0")&amp;" Unterstützer (Ø "&amp;TEXT(I3,"#.##0,00")&amp;" €)"</f>
        <v>Finaler Stand: 115.733 € / 645 Unterstützer (Ø 179,43 €)</v>
      </c>
      <c r="D6" s="471"/>
      <c r="E6" s="464" t="s">
        <v>328</v>
      </c>
      <c r="F6" s="464"/>
      <c r="G6" s="464"/>
      <c r="H6" s="464"/>
      <c r="I6" s="464"/>
      <c r="J6" s="464"/>
      <c r="K6" s="464"/>
      <c r="L6" s="464"/>
      <c r="M6" s="470" t="s">
        <v>384</v>
      </c>
      <c r="N6" s="470"/>
      <c r="O6" s="470"/>
      <c r="P6" s="204"/>
      <c r="Q6" s="204"/>
      <c r="R6" s="186" t="s">
        <v>4</v>
      </c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373"/>
      <c r="AI6" s="106"/>
      <c r="AJ6" s="373"/>
      <c r="AK6" s="106"/>
      <c r="AL6" s="106"/>
      <c r="AM6" s="106"/>
      <c r="AN6" s="106"/>
      <c r="AO6" s="106"/>
      <c r="AP6" s="91"/>
      <c r="AQ6" s="91"/>
      <c r="AR6" s="91"/>
      <c r="AS6" s="59"/>
      <c r="AT6" s="43"/>
      <c r="AU6" s="43"/>
      <c r="AV6" s="43"/>
      <c r="AW6" s="59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4"/>
      <c r="CA6" s="44"/>
      <c r="CB6" s="43"/>
      <c r="CC6" s="43"/>
      <c r="CD6" s="44"/>
      <c r="CE6" s="44"/>
      <c r="CF6" s="43"/>
      <c r="CG6" s="43"/>
      <c r="CH6" s="44"/>
      <c r="CI6" s="44"/>
      <c r="CJ6" s="43"/>
      <c r="CK6" s="43"/>
      <c r="CL6" s="43"/>
      <c r="CM6" s="44"/>
      <c r="CN6" s="44"/>
      <c r="CO6" s="45"/>
      <c r="CP6" s="43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4"/>
      <c r="DG6" s="204"/>
      <c r="DH6" s="204"/>
      <c r="DI6" s="204"/>
      <c r="DJ6" s="204"/>
      <c r="DK6" s="204"/>
      <c r="DL6" s="204"/>
      <c r="DM6" s="204"/>
    </row>
    <row r="7" spans="1:117" s="2" customFormat="1" ht="18.75" customHeight="1" thickBot="1" x14ac:dyDescent="0.35">
      <c r="A7" s="204"/>
      <c r="B7" s="206"/>
      <c r="C7" s="471" t="str">
        <f>"Erreichte Bonusziele: "&amp;G1&amp;", bis: '"&amp;VLOOKUP(G1,$B$16:$C$38,2,FALSE)&amp;"'"</f>
        <v>Erreichte Bonusziele: 19, bis: 'Alles auf einen Blick'</v>
      </c>
      <c r="D7" s="471"/>
      <c r="E7" s="475" t="s">
        <v>316</v>
      </c>
      <c r="F7" s="475"/>
      <c r="G7" s="475"/>
      <c r="H7" s="475"/>
      <c r="I7" s="475"/>
      <c r="J7" s="475"/>
      <c r="K7" s="475"/>
      <c r="L7" s="475"/>
      <c r="M7" s="444" t="s">
        <v>373</v>
      </c>
      <c r="N7" s="444"/>
      <c r="O7" s="444"/>
      <c r="P7" s="204"/>
      <c r="Q7" s="204"/>
      <c r="R7" s="186" t="s">
        <v>4</v>
      </c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373"/>
      <c r="AI7" s="106"/>
      <c r="AJ7" s="373"/>
      <c r="AK7" s="106"/>
      <c r="AL7" s="106"/>
      <c r="AM7" s="106"/>
      <c r="AN7" s="106"/>
      <c r="AO7" s="106"/>
      <c r="AP7" s="91"/>
      <c r="AQ7" s="91"/>
      <c r="AR7" s="91"/>
      <c r="AS7" s="59"/>
      <c r="AT7" s="43"/>
      <c r="AU7" s="43"/>
      <c r="AV7" s="43"/>
      <c r="AW7" s="59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4"/>
      <c r="CA7" s="44"/>
      <c r="CB7" s="43"/>
      <c r="CC7" s="43"/>
      <c r="CD7" s="44"/>
      <c r="CE7" s="44"/>
      <c r="CF7" s="43"/>
      <c r="CG7" s="43"/>
      <c r="CH7" s="44"/>
      <c r="CI7" s="44"/>
      <c r="CJ7" s="43"/>
      <c r="CK7" s="43"/>
      <c r="CL7" s="43"/>
      <c r="CM7" s="44"/>
      <c r="CN7" s="44"/>
      <c r="CO7" s="45"/>
      <c r="CP7" s="43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4"/>
      <c r="DE7" s="204"/>
      <c r="DF7" s="204"/>
      <c r="DG7" s="204"/>
      <c r="DH7" s="204"/>
      <c r="DI7" s="204"/>
      <c r="DJ7" s="204"/>
      <c r="DK7" s="204"/>
      <c r="DL7" s="204"/>
      <c r="DM7" s="204"/>
    </row>
    <row r="8" spans="1:117" s="2" customFormat="1" ht="36.75" customHeight="1" thickBot="1" x14ac:dyDescent="0.35">
      <c r="A8" s="204"/>
      <c r="B8" s="207" t="s">
        <v>30</v>
      </c>
      <c r="C8" s="472" t="s">
        <v>380</v>
      </c>
      <c r="D8" s="472"/>
      <c r="E8" s="476" t="s">
        <v>0</v>
      </c>
      <c r="F8" s="477"/>
      <c r="G8" s="477"/>
      <c r="H8" s="477"/>
      <c r="I8" s="477"/>
      <c r="J8" s="477"/>
      <c r="K8" s="477"/>
      <c r="L8" s="478"/>
      <c r="M8" s="223"/>
      <c r="N8" s="224"/>
      <c r="O8" s="204"/>
      <c r="P8" s="204"/>
      <c r="Q8" s="204"/>
      <c r="R8" s="187" t="s">
        <v>13</v>
      </c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373"/>
      <c r="AI8" s="106"/>
      <c r="AJ8" s="373"/>
      <c r="AK8" s="106"/>
      <c r="AL8" s="106"/>
      <c r="AM8" s="106"/>
      <c r="AN8" s="106"/>
      <c r="AO8" s="106"/>
      <c r="AP8" s="91"/>
      <c r="AQ8" s="91"/>
      <c r="AR8" s="91"/>
      <c r="AS8" s="59"/>
      <c r="AT8" s="43"/>
      <c r="AU8" s="43"/>
      <c r="AV8" s="43"/>
      <c r="AW8" s="59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4"/>
      <c r="CA8" s="44"/>
      <c r="CB8" s="43"/>
      <c r="CC8" s="43"/>
      <c r="CD8" s="44"/>
      <c r="CE8" s="44"/>
      <c r="CF8" s="43"/>
      <c r="CG8" s="43"/>
      <c r="CH8" s="44"/>
      <c r="CI8" s="44"/>
      <c r="CJ8" s="43"/>
      <c r="CK8" s="43"/>
      <c r="CL8" s="43"/>
      <c r="CM8" s="44"/>
      <c r="CN8" s="44"/>
      <c r="CO8" s="45"/>
      <c r="CP8" s="43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204"/>
      <c r="DB8" s="204"/>
      <c r="DC8" s="204"/>
      <c r="DD8" s="204"/>
      <c r="DE8" s="204"/>
      <c r="DF8" s="204"/>
      <c r="DG8" s="204"/>
      <c r="DH8" s="204"/>
      <c r="DI8" s="204"/>
    </row>
    <row r="9" spans="1:117" s="2" customFormat="1" ht="59.25" customHeight="1" thickBot="1" x14ac:dyDescent="0.35">
      <c r="A9" s="204"/>
      <c r="B9" s="208" t="s">
        <v>381</v>
      </c>
      <c r="C9" s="204"/>
      <c r="D9" s="204"/>
      <c r="E9" s="479" t="s">
        <v>192</v>
      </c>
      <c r="F9" s="480"/>
      <c r="G9" s="480"/>
      <c r="H9" s="480"/>
      <c r="I9" s="480"/>
      <c r="J9" s="480"/>
      <c r="K9" s="480"/>
      <c r="L9" s="481"/>
      <c r="M9" s="223"/>
      <c r="N9" s="224"/>
      <c r="O9" s="204"/>
      <c r="P9" s="204"/>
      <c r="Q9" s="204"/>
      <c r="R9" s="187" t="s">
        <v>13</v>
      </c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373"/>
      <c r="AI9" s="106"/>
      <c r="AJ9" s="373"/>
      <c r="AK9" s="106"/>
      <c r="AL9" s="106"/>
      <c r="AM9" s="106"/>
      <c r="AN9" s="106"/>
      <c r="AO9" s="106"/>
      <c r="AP9" s="91"/>
      <c r="AQ9" s="91"/>
      <c r="AR9" s="91"/>
      <c r="AS9" s="59"/>
      <c r="AT9" s="43"/>
      <c r="AU9" s="43"/>
      <c r="AV9" s="43"/>
      <c r="AW9" s="59"/>
      <c r="AX9" s="72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4"/>
      <c r="CA9" s="44"/>
      <c r="CB9" s="43"/>
      <c r="CC9" s="43"/>
      <c r="CD9" s="44"/>
      <c r="CE9" s="44"/>
      <c r="CF9" s="43"/>
      <c r="CG9" s="43"/>
      <c r="CH9" s="44"/>
      <c r="CI9" s="44"/>
      <c r="CJ9" s="43"/>
      <c r="CK9" s="43"/>
      <c r="CL9" s="43"/>
      <c r="CM9" s="44"/>
      <c r="CN9" s="44"/>
      <c r="CO9" s="45"/>
      <c r="CP9" s="43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</row>
    <row r="10" spans="1:117" s="2" customFormat="1" ht="6.75" customHeight="1" x14ac:dyDescent="0.3">
      <c r="A10" s="204"/>
      <c r="B10" s="209"/>
      <c r="C10" s="204"/>
      <c r="D10" s="204"/>
      <c r="E10" s="228"/>
      <c r="F10" s="228"/>
      <c r="G10" s="229"/>
      <c r="H10" s="229"/>
      <c r="I10" s="229"/>
      <c r="J10" s="229"/>
      <c r="K10" s="229"/>
      <c r="L10" s="229"/>
      <c r="M10" s="223"/>
      <c r="N10" s="224"/>
      <c r="O10" s="204"/>
      <c r="P10" s="204"/>
      <c r="Q10" s="204"/>
      <c r="R10" s="186" t="s">
        <v>4</v>
      </c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373"/>
      <c r="AI10" s="106"/>
      <c r="AJ10" s="373"/>
      <c r="AK10" s="106"/>
      <c r="AL10" s="106"/>
      <c r="AM10" s="106"/>
      <c r="AN10" s="106"/>
      <c r="AO10" s="106"/>
      <c r="AP10" s="91"/>
      <c r="AQ10" s="91"/>
      <c r="AR10" s="91"/>
      <c r="AS10" s="59"/>
      <c r="AT10" s="43"/>
      <c r="AU10" s="43"/>
      <c r="AV10" s="43"/>
      <c r="AW10" s="59"/>
      <c r="AX10" s="72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4"/>
      <c r="CA10" s="44"/>
      <c r="CB10" s="43"/>
      <c r="CC10" s="43"/>
      <c r="CD10" s="44"/>
      <c r="CE10" s="44"/>
      <c r="CF10" s="43"/>
      <c r="CG10" s="43"/>
      <c r="CH10" s="44"/>
      <c r="CI10" s="44"/>
      <c r="CJ10" s="43"/>
      <c r="CK10" s="43"/>
      <c r="CL10" s="43"/>
      <c r="CM10" s="44"/>
      <c r="CN10" s="44"/>
      <c r="CO10" s="45"/>
      <c r="CP10" s="43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</row>
    <row r="11" spans="1:117" s="74" customFormat="1" ht="36" x14ac:dyDescent="0.25">
      <c r="A11" s="210"/>
      <c r="B11" s="209" t="s">
        <v>112</v>
      </c>
      <c r="C11" s="210"/>
      <c r="D11" s="211"/>
      <c r="E11" s="473" t="s">
        <v>165</v>
      </c>
      <c r="F11" s="280" t="s">
        <v>244</v>
      </c>
      <c r="G11" s="280" t="s">
        <v>245</v>
      </c>
      <c r="H11" s="248" t="s">
        <v>246</v>
      </c>
      <c r="I11" s="280" t="s">
        <v>247</v>
      </c>
      <c r="J11" s="248" t="s">
        <v>248</v>
      </c>
      <c r="K11" s="248" t="s">
        <v>249</v>
      </c>
      <c r="L11" s="249" t="s">
        <v>359</v>
      </c>
      <c r="M11" s="227"/>
      <c r="N11" s="224"/>
      <c r="O11" s="210"/>
      <c r="P11" s="204"/>
      <c r="Q11" s="204"/>
      <c r="R11" s="187" t="s">
        <v>13</v>
      </c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373"/>
      <c r="AI11" s="106"/>
      <c r="AJ11" s="373"/>
      <c r="AK11" s="106"/>
      <c r="AL11" s="106"/>
      <c r="AM11" s="106"/>
      <c r="AN11" s="106"/>
      <c r="AO11" s="106"/>
      <c r="AP11" s="91"/>
      <c r="AQ11" s="91"/>
      <c r="AR11" s="91"/>
      <c r="AS11" s="423"/>
      <c r="AT11" s="78"/>
      <c r="AU11" s="70"/>
      <c r="AV11" s="70"/>
      <c r="AW11" s="105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0"/>
      <c r="BY11" s="70"/>
      <c r="BZ11" s="77"/>
      <c r="CA11" s="77"/>
      <c r="CB11" s="70"/>
      <c r="CC11" s="70"/>
      <c r="CD11" s="77"/>
      <c r="CE11" s="77"/>
      <c r="CF11" s="70"/>
      <c r="CG11" s="70"/>
      <c r="CH11" s="77"/>
      <c r="CI11" s="77"/>
      <c r="CJ11" s="70"/>
      <c r="CK11" s="70"/>
      <c r="CL11" s="70"/>
      <c r="CM11" s="77"/>
      <c r="CN11" s="77"/>
      <c r="CO11" s="80"/>
      <c r="CP11" s="7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</row>
    <row r="12" spans="1:117" s="2" customFormat="1" ht="54" x14ac:dyDescent="0.3">
      <c r="A12" s="204"/>
      <c r="B12" s="468" t="s">
        <v>1</v>
      </c>
      <c r="C12" s="204"/>
      <c r="D12" s="413" t="s">
        <v>329</v>
      </c>
      <c r="E12" s="474"/>
      <c r="F12" s="250"/>
      <c r="G12" s="250"/>
      <c r="H12" s="250"/>
      <c r="I12" s="250"/>
      <c r="J12" s="250"/>
      <c r="K12" s="250"/>
      <c r="L12" s="251"/>
      <c r="M12" s="470" t="s">
        <v>361</v>
      </c>
      <c r="N12" s="470"/>
      <c r="O12" s="470"/>
      <c r="P12" s="204"/>
      <c r="Q12" s="204"/>
      <c r="R12" s="187" t="s">
        <v>167</v>
      </c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373"/>
      <c r="AI12" s="106"/>
      <c r="AJ12" s="373"/>
      <c r="AK12" s="106"/>
      <c r="AL12" s="106"/>
      <c r="AM12" s="106"/>
      <c r="AN12" s="106"/>
      <c r="AO12" s="106"/>
      <c r="AP12" s="91"/>
      <c r="AQ12" s="91"/>
      <c r="AR12" s="91"/>
      <c r="AS12" s="59"/>
      <c r="AT12" s="43"/>
      <c r="AU12" s="43"/>
      <c r="AV12" s="43"/>
      <c r="AW12" s="59"/>
      <c r="AX12" s="8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4"/>
      <c r="CA12" s="44"/>
      <c r="CB12" s="43"/>
      <c r="CC12" s="43"/>
      <c r="CD12" s="44"/>
      <c r="CE12" s="44"/>
      <c r="CF12" s="43"/>
      <c r="CG12" s="43"/>
      <c r="CH12" s="44"/>
      <c r="CI12" s="44"/>
      <c r="CJ12" s="43"/>
      <c r="CK12" s="43"/>
      <c r="CL12" s="43"/>
      <c r="CM12" s="44"/>
      <c r="CN12" s="44"/>
      <c r="CO12" s="45"/>
      <c r="CP12" s="43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</row>
    <row r="13" spans="1:117" s="84" customFormat="1" ht="19.5" thickBot="1" x14ac:dyDescent="0.35">
      <c r="A13" s="212"/>
      <c r="B13" s="469"/>
      <c r="C13" s="348"/>
      <c r="D13" s="258"/>
      <c r="E13" s="252" t="s">
        <v>31</v>
      </c>
      <c r="F13" s="253">
        <v>33</v>
      </c>
      <c r="G13" s="253">
        <v>46</v>
      </c>
      <c r="H13" s="253">
        <v>106</v>
      </c>
      <c r="I13" s="253">
        <v>237</v>
      </c>
      <c r="J13" s="253">
        <v>92</v>
      </c>
      <c r="K13" s="253">
        <v>131</v>
      </c>
      <c r="L13" s="392">
        <v>8</v>
      </c>
      <c r="M13" s="444" t="s">
        <v>362</v>
      </c>
      <c r="N13" s="444"/>
      <c r="O13" s="444"/>
      <c r="P13" s="204"/>
      <c r="Q13" s="204"/>
      <c r="R13" s="187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373"/>
      <c r="AI13" s="106"/>
      <c r="AJ13" s="373"/>
      <c r="AK13" s="106"/>
      <c r="AL13" s="106"/>
      <c r="AM13" s="106"/>
      <c r="AN13" s="106"/>
      <c r="AO13" s="106"/>
      <c r="AP13" s="91"/>
      <c r="AQ13" s="91"/>
      <c r="AR13" s="91"/>
      <c r="AS13" s="106"/>
      <c r="AT13" s="66"/>
      <c r="AU13" s="66"/>
      <c r="AV13" s="66"/>
      <c r="AW13" s="10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86"/>
      <c r="CA13" s="86"/>
      <c r="CB13" s="66"/>
      <c r="CC13" s="66"/>
      <c r="CD13" s="86"/>
      <c r="CE13" s="86"/>
      <c r="CF13" s="66"/>
      <c r="CG13" s="66"/>
      <c r="CH13" s="86"/>
      <c r="CI13" s="86"/>
      <c r="CJ13" s="66"/>
      <c r="CK13" s="66"/>
      <c r="CL13" s="66"/>
      <c r="CM13" s="86"/>
      <c r="CN13" s="86"/>
      <c r="CO13" s="87"/>
      <c r="CP13" s="66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</row>
    <row r="14" spans="1:117" s="84" customFormat="1" thickBot="1" x14ac:dyDescent="0.35">
      <c r="A14" s="212"/>
      <c r="B14" s="221"/>
      <c r="C14" s="348"/>
      <c r="D14" s="258"/>
      <c r="E14" s="252" t="s">
        <v>199</v>
      </c>
      <c r="F14" s="320">
        <f>F13/SUM($F$13:$L$13)</f>
        <v>5.0535987748851458E-2</v>
      </c>
      <c r="G14" s="320">
        <f t="shared" ref="G14:L14" si="0">G13/SUM($F$13:$L$13)</f>
        <v>7.0444104134762639E-2</v>
      </c>
      <c r="H14" s="320">
        <f t="shared" si="0"/>
        <v>0.16232771822358347</v>
      </c>
      <c r="I14" s="320">
        <f t="shared" si="0"/>
        <v>0.36294027565084225</v>
      </c>
      <c r="J14" s="320">
        <f t="shared" si="0"/>
        <v>0.14088820826952528</v>
      </c>
      <c r="K14" s="320">
        <f t="shared" si="0"/>
        <v>0.20061255742725881</v>
      </c>
      <c r="L14" s="321">
        <f t="shared" si="0"/>
        <v>1.2251148545176111E-2</v>
      </c>
      <c r="M14" s="462" t="s">
        <v>200</v>
      </c>
      <c r="N14" s="463"/>
      <c r="O14" s="463"/>
      <c r="P14" s="204"/>
      <c r="Q14" s="204"/>
      <c r="R14" s="187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373"/>
      <c r="AI14" s="106"/>
      <c r="AJ14" s="373"/>
      <c r="AK14" s="106"/>
      <c r="AL14" s="106"/>
      <c r="AM14" s="106"/>
      <c r="AN14" s="106"/>
      <c r="AO14" s="106"/>
      <c r="AP14" s="91"/>
      <c r="AQ14" s="91"/>
      <c r="AR14" s="91"/>
      <c r="AS14" s="106"/>
      <c r="AT14" s="66"/>
      <c r="AU14" s="66"/>
      <c r="AV14" s="66"/>
      <c r="AW14" s="10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86"/>
      <c r="CA14" s="86"/>
      <c r="CB14" s="66"/>
      <c r="CC14" s="66"/>
      <c r="CD14" s="86"/>
      <c r="CE14" s="86"/>
      <c r="CF14" s="66"/>
      <c r="CG14" s="66"/>
      <c r="CH14" s="86"/>
      <c r="CI14" s="86"/>
      <c r="CJ14" s="66"/>
      <c r="CK14" s="66"/>
      <c r="CL14" s="66"/>
      <c r="CM14" s="86"/>
      <c r="CN14" s="86"/>
      <c r="CO14" s="87"/>
      <c r="CP14" s="66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</row>
    <row r="15" spans="1:117" s="88" customFormat="1" ht="45" x14ac:dyDescent="0.25">
      <c r="A15" s="210"/>
      <c r="B15" s="254" t="s">
        <v>191</v>
      </c>
      <c r="C15" s="306" t="s">
        <v>189</v>
      </c>
      <c r="D15" s="307" t="s">
        <v>2</v>
      </c>
      <c r="E15" s="308"/>
      <c r="F15" s="308">
        <v>30</v>
      </c>
      <c r="G15" s="308">
        <v>45</v>
      </c>
      <c r="H15" s="308">
        <v>60</v>
      </c>
      <c r="I15" s="308">
        <v>119</v>
      </c>
      <c r="J15" s="309">
        <v>149</v>
      </c>
      <c r="K15" s="310">
        <v>259</v>
      </c>
      <c r="L15" s="434">
        <v>599</v>
      </c>
      <c r="M15" s="255" t="s">
        <v>14</v>
      </c>
      <c r="N15" s="256" t="s">
        <v>3</v>
      </c>
      <c r="O15" s="311" t="s">
        <v>99</v>
      </c>
      <c r="P15" s="204"/>
      <c r="Q15" s="204"/>
      <c r="R15" s="187" t="s">
        <v>13</v>
      </c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373"/>
      <c r="AI15" s="106"/>
      <c r="AJ15" s="373"/>
      <c r="AK15" s="106"/>
      <c r="AL15" s="106"/>
      <c r="AM15" s="106"/>
      <c r="AN15" s="106"/>
      <c r="AO15" s="106"/>
      <c r="AP15" s="91"/>
      <c r="AQ15" s="91"/>
      <c r="AR15" s="91"/>
      <c r="AS15" s="106"/>
      <c r="AT15" s="66"/>
      <c r="AU15" s="70"/>
      <c r="AV15" s="70"/>
      <c r="AW15" s="105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70"/>
      <c r="BZ15" s="77"/>
      <c r="CA15" s="77"/>
      <c r="CB15" s="70"/>
      <c r="CC15" s="70"/>
      <c r="CD15" s="77"/>
      <c r="CE15" s="77"/>
      <c r="CF15" s="70"/>
      <c r="CG15" s="70"/>
      <c r="CH15" s="77"/>
      <c r="CI15" s="77"/>
      <c r="CJ15" s="70"/>
      <c r="CK15" s="70"/>
      <c r="CL15" s="70"/>
      <c r="CM15" s="77"/>
      <c r="CN15" s="77"/>
      <c r="CO15" s="80"/>
      <c r="CP15" s="7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10"/>
      <c r="DG15" s="210"/>
      <c r="DH15" s="210"/>
      <c r="DI15" s="210"/>
    </row>
    <row r="16" spans="1:117" s="329" customFormat="1" ht="18" hidden="1" outlineLevel="1" x14ac:dyDescent="0.3">
      <c r="A16" s="322"/>
      <c r="B16" s="89">
        <v>0</v>
      </c>
      <c r="C16" s="404" t="s">
        <v>224</v>
      </c>
      <c r="D16" s="405">
        <v>10000</v>
      </c>
      <c r="E16" s="406"/>
      <c r="F16" s="162"/>
      <c r="G16" s="202" t="s">
        <v>34</v>
      </c>
      <c r="H16" s="202" t="s">
        <v>19</v>
      </c>
      <c r="I16" s="202" t="s">
        <v>18</v>
      </c>
      <c r="J16" s="202" t="s">
        <v>44</v>
      </c>
      <c r="K16" s="324"/>
      <c r="L16" s="324"/>
      <c r="M16" s="324"/>
      <c r="N16" s="324"/>
      <c r="O16" s="324"/>
      <c r="P16" s="220"/>
      <c r="Q16" s="220"/>
      <c r="R16" s="325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75"/>
      <c r="AI16" s="148"/>
      <c r="AJ16" s="375"/>
      <c r="AK16" s="148"/>
      <c r="AL16" s="148"/>
      <c r="AM16" s="148"/>
      <c r="AN16" s="148"/>
      <c r="AO16" s="148"/>
      <c r="AP16" s="324"/>
      <c r="AQ16" s="324"/>
      <c r="AR16" s="324"/>
      <c r="AS16" s="106"/>
      <c r="AT16" s="326"/>
      <c r="AU16" s="326"/>
      <c r="AV16" s="326"/>
      <c r="AW16" s="105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/>
      <c r="BX16" s="148"/>
      <c r="BY16" s="326"/>
      <c r="BZ16" s="328"/>
      <c r="CA16" s="328"/>
      <c r="CB16" s="326"/>
      <c r="CC16" s="326"/>
      <c r="CD16" s="328"/>
      <c r="CE16" s="328"/>
      <c r="CF16" s="326"/>
      <c r="CG16" s="326"/>
      <c r="CH16" s="328"/>
      <c r="CI16" s="328"/>
      <c r="CJ16" s="326"/>
      <c r="CK16" s="326"/>
      <c r="CL16" s="326"/>
      <c r="CM16" s="328"/>
      <c r="CN16" s="328"/>
      <c r="CO16" s="160"/>
      <c r="CP16" s="326"/>
      <c r="CQ16" s="322"/>
      <c r="CR16" s="322"/>
      <c r="CS16" s="322"/>
      <c r="CT16" s="322"/>
      <c r="CU16" s="322"/>
      <c r="CV16" s="322"/>
      <c r="CW16" s="322"/>
      <c r="CX16" s="322"/>
      <c r="CY16" s="322"/>
      <c r="CZ16" s="322"/>
      <c r="DA16" s="322"/>
      <c r="DB16" s="322"/>
      <c r="DC16" s="322"/>
      <c r="DD16" s="322"/>
      <c r="DE16" s="322"/>
      <c r="DF16" s="322"/>
      <c r="DG16" s="322"/>
      <c r="DH16" s="322"/>
      <c r="DI16" s="322"/>
    </row>
    <row r="17" spans="1:113" s="329" customFormat="1" ht="18" hidden="1" outlineLevel="1" x14ac:dyDescent="0.3">
      <c r="A17" s="322"/>
      <c r="B17" s="89">
        <v>1</v>
      </c>
      <c r="C17" s="404" t="s">
        <v>225</v>
      </c>
      <c r="D17" s="405">
        <f>D16+5000</f>
        <v>15000</v>
      </c>
      <c r="E17" s="406" t="s">
        <v>274</v>
      </c>
      <c r="F17" s="148" t="s">
        <v>22</v>
      </c>
      <c r="G17" s="395">
        <v>1</v>
      </c>
      <c r="H17" s="396">
        <f t="shared" ref="H17:H37" si="1">VLOOKUP(G17,$T$139:$AD$160,11,FALSE)</f>
        <v>26725</v>
      </c>
      <c r="I17" s="396">
        <f t="shared" ref="I17:I37" si="2">VLOOKUP(G17,$T$139:$AC$160,10,FALSE)</f>
        <v>136</v>
      </c>
      <c r="J17" s="397">
        <f>IFERROR(Tabelle2[[#This Row],[€]]/Tabelle2[[#This Row],[Backer]],"")</f>
        <v>196.50735294117646</v>
      </c>
      <c r="K17" s="324"/>
      <c r="L17" s="324"/>
      <c r="M17" s="324"/>
      <c r="N17" s="324"/>
      <c r="O17" s="324"/>
      <c r="P17" s="220"/>
      <c r="Q17" s="220"/>
      <c r="R17" s="325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75"/>
      <c r="AI17" s="148"/>
      <c r="AJ17" s="375"/>
      <c r="AK17" s="148"/>
      <c r="AL17" s="148"/>
      <c r="AM17" s="148"/>
      <c r="AN17" s="148"/>
      <c r="AO17" s="148"/>
      <c r="AP17" s="324"/>
      <c r="AQ17" s="324"/>
      <c r="AR17" s="324"/>
      <c r="AS17" s="106"/>
      <c r="AT17" s="326"/>
      <c r="AU17" s="326"/>
      <c r="AV17" s="326"/>
      <c r="AW17" s="105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326"/>
      <c r="BZ17" s="328"/>
      <c r="CA17" s="328"/>
      <c r="CB17" s="326"/>
      <c r="CC17" s="326"/>
      <c r="CD17" s="328"/>
      <c r="CE17" s="328"/>
      <c r="CF17" s="326"/>
      <c r="CG17" s="326"/>
      <c r="CH17" s="328"/>
      <c r="CI17" s="328"/>
      <c r="CJ17" s="326"/>
      <c r="CK17" s="326"/>
      <c r="CL17" s="326"/>
      <c r="CM17" s="328"/>
      <c r="CN17" s="328"/>
      <c r="CO17" s="160"/>
      <c r="CP17" s="326"/>
      <c r="CQ17" s="322"/>
      <c r="CR17" s="322"/>
      <c r="CS17" s="322"/>
      <c r="CT17" s="322"/>
      <c r="CU17" s="322"/>
      <c r="CV17" s="322"/>
      <c r="CW17" s="322"/>
      <c r="CX17" s="322"/>
      <c r="CY17" s="322"/>
      <c r="CZ17" s="322"/>
      <c r="DA17" s="322"/>
      <c r="DB17" s="322"/>
      <c r="DC17" s="322"/>
      <c r="DD17" s="322"/>
      <c r="DE17" s="322"/>
      <c r="DF17" s="322"/>
      <c r="DG17" s="322"/>
      <c r="DH17" s="322"/>
      <c r="DI17" s="322"/>
    </row>
    <row r="18" spans="1:113" s="329" customFormat="1" ht="18" hidden="1" outlineLevel="1" x14ac:dyDescent="0.3">
      <c r="A18" s="322"/>
      <c r="B18" s="89">
        <v>2</v>
      </c>
      <c r="C18" s="404" t="s">
        <v>226</v>
      </c>
      <c r="D18" s="405">
        <f t="shared" ref="D18:D37" si="3">D17+5000</f>
        <v>20000</v>
      </c>
      <c r="E18" s="406" t="s">
        <v>273</v>
      </c>
      <c r="F18" s="171" t="s">
        <v>23</v>
      </c>
      <c r="G18" s="330">
        <v>21</v>
      </c>
      <c r="H18" s="200">
        <f t="shared" si="1"/>
        <v>16031</v>
      </c>
      <c r="I18" s="200">
        <f t="shared" si="2"/>
        <v>87</v>
      </c>
      <c r="J18" s="201">
        <f>IFERROR(Tabelle2[[#This Row],[€]]/Tabelle2[[#This Row],[Backer]],"")</f>
        <v>184.26436781609195</v>
      </c>
      <c r="K18" s="324"/>
      <c r="L18" s="324"/>
      <c r="M18" s="324"/>
      <c r="N18" s="324"/>
      <c r="O18" s="324"/>
      <c r="P18" s="220"/>
      <c r="Q18" s="220"/>
      <c r="R18" s="325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75"/>
      <c r="AI18" s="148"/>
      <c r="AJ18" s="375"/>
      <c r="AK18" s="148"/>
      <c r="AL18" s="148"/>
      <c r="AM18" s="148"/>
      <c r="AN18" s="148"/>
      <c r="AO18" s="148"/>
      <c r="AP18" s="324"/>
      <c r="AQ18" s="324"/>
      <c r="AR18" s="324"/>
      <c r="AS18" s="106"/>
      <c r="AT18" s="326"/>
      <c r="AU18" s="326"/>
      <c r="AV18" s="326"/>
      <c r="AW18" s="105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326"/>
      <c r="BZ18" s="328"/>
      <c r="CA18" s="328"/>
      <c r="CB18" s="326"/>
      <c r="CC18" s="326"/>
      <c r="CD18" s="328"/>
      <c r="CE18" s="328"/>
      <c r="CF18" s="326"/>
      <c r="CG18" s="326"/>
      <c r="CH18" s="328"/>
      <c r="CI18" s="328"/>
      <c r="CJ18" s="326"/>
      <c r="CK18" s="326"/>
      <c r="CL18" s="326"/>
      <c r="CM18" s="328"/>
      <c r="CN18" s="328"/>
      <c r="CO18" s="160"/>
      <c r="CP18" s="326"/>
      <c r="CQ18" s="322"/>
      <c r="CR18" s="322"/>
      <c r="CS18" s="322"/>
      <c r="CT18" s="322"/>
      <c r="CU18" s="322"/>
      <c r="CV18" s="322"/>
      <c r="CW18" s="322"/>
      <c r="CX18" s="322"/>
      <c r="CY18" s="322"/>
      <c r="CZ18" s="322"/>
      <c r="DA18" s="322"/>
      <c r="DB18" s="322"/>
      <c r="DC18" s="322"/>
      <c r="DD18" s="322"/>
      <c r="DE18" s="322"/>
      <c r="DF18" s="322"/>
      <c r="DG18" s="322"/>
      <c r="DH18" s="322"/>
      <c r="DI18" s="322"/>
    </row>
    <row r="19" spans="1:113" s="329" customFormat="1" ht="18" hidden="1" outlineLevel="1" x14ac:dyDescent="0.3">
      <c r="A19" s="322"/>
      <c r="B19" s="89">
        <v>3</v>
      </c>
      <c r="C19" s="404" t="s">
        <v>227</v>
      </c>
      <c r="D19" s="405">
        <f t="shared" si="3"/>
        <v>25000</v>
      </c>
      <c r="E19" s="406" t="s">
        <v>271</v>
      </c>
      <c r="F19" s="148" t="s">
        <v>25</v>
      </c>
      <c r="G19" s="395">
        <v>20</v>
      </c>
      <c r="H19" s="396">
        <f t="shared" si="1"/>
        <v>8104</v>
      </c>
      <c r="I19" s="396">
        <f t="shared" si="2"/>
        <v>39</v>
      </c>
      <c r="J19" s="397">
        <f>IFERROR(Tabelle2[[#This Row],[€]]/Tabelle2[[#This Row],[Backer]],"")</f>
        <v>207.7948717948718</v>
      </c>
      <c r="K19" s="324"/>
      <c r="L19" s="324"/>
      <c r="M19" s="324"/>
      <c r="N19" s="324"/>
      <c r="O19" s="324"/>
      <c r="P19" s="220"/>
      <c r="Q19" s="220"/>
      <c r="R19" s="325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75"/>
      <c r="AI19" s="148"/>
      <c r="AJ19" s="375"/>
      <c r="AK19" s="148"/>
      <c r="AL19" s="148"/>
      <c r="AM19" s="148"/>
      <c r="AN19" s="148"/>
      <c r="AO19" s="148"/>
      <c r="AP19" s="324"/>
      <c r="AQ19" s="324"/>
      <c r="AR19" s="324"/>
      <c r="AS19" s="106"/>
      <c r="AT19" s="326"/>
      <c r="AU19" s="326"/>
      <c r="AV19" s="326"/>
      <c r="AW19" s="105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326"/>
      <c r="BZ19" s="328"/>
      <c r="CA19" s="328"/>
      <c r="CB19" s="326"/>
      <c r="CC19" s="326"/>
      <c r="CD19" s="328"/>
      <c r="CE19" s="328"/>
      <c r="CF19" s="326"/>
      <c r="CG19" s="326"/>
      <c r="CH19" s="328"/>
      <c r="CI19" s="328"/>
      <c r="CJ19" s="326"/>
      <c r="CK19" s="326"/>
      <c r="CL19" s="326"/>
      <c r="CM19" s="328"/>
      <c r="CN19" s="328"/>
      <c r="CO19" s="160"/>
      <c r="CP19" s="326"/>
      <c r="CQ19" s="322"/>
      <c r="CR19" s="322"/>
      <c r="CS19" s="322"/>
      <c r="CT19" s="322"/>
      <c r="CU19" s="322"/>
      <c r="CV19" s="322"/>
      <c r="CW19" s="322"/>
      <c r="CX19" s="322"/>
      <c r="CY19" s="322"/>
      <c r="CZ19" s="322"/>
      <c r="DA19" s="322"/>
      <c r="DB19" s="322"/>
      <c r="DC19" s="322"/>
      <c r="DD19" s="322"/>
      <c r="DE19" s="322"/>
      <c r="DF19" s="322"/>
      <c r="DG19" s="322"/>
      <c r="DH19" s="322"/>
      <c r="DI19" s="322"/>
    </row>
    <row r="20" spans="1:113" s="329" customFormat="1" ht="18" hidden="1" outlineLevel="1" x14ac:dyDescent="0.3">
      <c r="A20" s="322"/>
      <c r="B20" s="89">
        <v>4</v>
      </c>
      <c r="C20" s="404" t="s">
        <v>228</v>
      </c>
      <c r="D20" s="405">
        <f t="shared" si="3"/>
        <v>30000</v>
      </c>
      <c r="E20" s="406" t="s">
        <v>320</v>
      </c>
      <c r="F20" s="171" t="s">
        <v>101</v>
      </c>
      <c r="G20" s="395">
        <v>9</v>
      </c>
      <c r="H20" s="396">
        <f t="shared" si="1"/>
        <v>5982</v>
      </c>
      <c r="I20" s="396">
        <f t="shared" si="2"/>
        <v>37</v>
      </c>
      <c r="J20" s="397">
        <f>IFERROR(Tabelle2[[#This Row],[€]]/Tabelle2[[#This Row],[Backer]],"")</f>
        <v>161.67567567567568</v>
      </c>
      <c r="K20" s="324"/>
      <c r="L20" s="324"/>
      <c r="M20" s="324"/>
      <c r="N20" s="324"/>
      <c r="O20" s="324"/>
      <c r="P20" s="220"/>
      <c r="Q20" s="220"/>
      <c r="R20" s="325"/>
      <c r="S20" s="324"/>
      <c r="T20" s="326"/>
      <c r="U20" s="326"/>
      <c r="V20" s="326"/>
      <c r="W20" s="326"/>
      <c r="X20" s="326"/>
      <c r="Y20" s="326"/>
      <c r="Z20" s="326"/>
      <c r="AA20" s="326"/>
      <c r="AB20" s="148"/>
      <c r="AC20" s="148"/>
      <c r="AD20" s="148"/>
      <c r="AE20" s="327"/>
      <c r="AF20" s="148"/>
      <c r="AG20" s="148"/>
      <c r="AH20" s="375"/>
      <c r="AI20" s="148"/>
      <c r="AJ20" s="375"/>
      <c r="AK20" s="148"/>
      <c r="AL20" s="148"/>
      <c r="AM20" s="148"/>
      <c r="AN20" s="148"/>
      <c r="AO20" s="148"/>
      <c r="AP20" s="148"/>
      <c r="AQ20" s="148"/>
      <c r="AR20" s="148"/>
      <c r="AS20" s="106"/>
      <c r="AT20" s="326"/>
      <c r="AU20" s="326"/>
      <c r="AV20" s="326"/>
      <c r="AW20" s="105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326"/>
      <c r="BZ20" s="328"/>
      <c r="CA20" s="328"/>
      <c r="CB20" s="326"/>
      <c r="CC20" s="326"/>
      <c r="CD20" s="328"/>
      <c r="CE20" s="328"/>
      <c r="CF20" s="326"/>
      <c r="CG20" s="326"/>
      <c r="CH20" s="328"/>
      <c r="CI20" s="328"/>
      <c r="CJ20" s="326"/>
      <c r="CK20" s="326"/>
      <c r="CL20" s="326"/>
      <c r="CM20" s="328"/>
      <c r="CN20" s="328"/>
      <c r="CO20" s="160"/>
      <c r="CP20" s="326"/>
      <c r="CQ20" s="322"/>
      <c r="CR20" s="322"/>
      <c r="CS20" s="322"/>
      <c r="CT20" s="322"/>
      <c r="CU20" s="322"/>
      <c r="CV20" s="322"/>
      <c r="CW20" s="322"/>
      <c r="CX20" s="322"/>
      <c r="CY20" s="322"/>
      <c r="CZ20" s="322"/>
      <c r="DA20" s="322"/>
      <c r="DB20" s="322"/>
      <c r="DC20" s="322"/>
      <c r="DD20" s="322"/>
      <c r="DE20" s="322"/>
      <c r="DF20" s="322"/>
      <c r="DG20" s="322"/>
      <c r="DH20" s="322"/>
      <c r="DI20" s="322"/>
    </row>
    <row r="21" spans="1:113" s="329" customFormat="1" ht="18" hidden="1" outlineLevel="1" x14ac:dyDescent="0.3">
      <c r="A21" s="322"/>
      <c r="B21" s="89">
        <v>5</v>
      </c>
      <c r="C21" s="404" t="s">
        <v>229</v>
      </c>
      <c r="D21" s="405">
        <f t="shared" si="3"/>
        <v>35000</v>
      </c>
      <c r="E21" s="406" t="s">
        <v>270</v>
      </c>
      <c r="F21" s="148" t="s">
        <v>24</v>
      </c>
      <c r="G21" s="395">
        <v>3</v>
      </c>
      <c r="H21" s="396">
        <f t="shared" si="1"/>
        <v>5775</v>
      </c>
      <c r="I21" s="396">
        <f t="shared" si="2"/>
        <v>27</v>
      </c>
      <c r="J21" s="397">
        <f>IFERROR(Tabelle2[[#This Row],[€]]/Tabelle2[[#This Row],[Backer]],"")</f>
        <v>213.88888888888889</v>
      </c>
      <c r="K21" s="324"/>
      <c r="L21" s="324"/>
      <c r="M21" s="324"/>
      <c r="N21" s="324"/>
      <c r="O21" s="324"/>
      <c r="P21" s="220"/>
      <c r="Q21" s="220"/>
      <c r="R21" s="325"/>
      <c r="S21" s="324"/>
      <c r="T21" s="326"/>
      <c r="U21" s="326"/>
      <c r="V21" s="326"/>
      <c r="W21" s="326"/>
      <c r="X21" s="326"/>
      <c r="Y21" s="326"/>
      <c r="Z21" s="326"/>
      <c r="AA21" s="326"/>
      <c r="AB21" s="148"/>
      <c r="AC21" s="148"/>
      <c r="AD21" s="148"/>
      <c r="AE21" s="327"/>
      <c r="AF21" s="148"/>
      <c r="AG21" s="148"/>
      <c r="AH21" s="375"/>
      <c r="AI21" s="148"/>
      <c r="AJ21" s="375"/>
      <c r="AK21" s="148"/>
      <c r="AL21" s="148"/>
      <c r="AM21" s="148"/>
      <c r="AN21" s="148"/>
      <c r="AO21" s="148"/>
      <c r="AP21" s="148"/>
      <c r="AQ21" s="148"/>
      <c r="AR21" s="148"/>
      <c r="AS21" s="106"/>
      <c r="AT21" s="326"/>
      <c r="AU21" s="326"/>
      <c r="AV21" s="326"/>
      <c r="AW21" s="105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326"/>
      <c r="BZ21" s="328"/>
      <c r="CA21" s="328"/>
      <c r="CB21" s="326"/>
      <c r="CC21" s="326"/>
      <c r="CD21" s="328"/>
      <c r="CE21" s="328"/>
      <c r="CF21" s="326"/>
      <c r="CG21" s="326"/>
      <c r="CH21" s="328"/>
      <c r="CI21" s="328"/>
      <c r="CJ21" s="326"/>
      <c r="CK21" s="326"/>
      <c r="CL21" s="326"/>
      <c r="CM21" s="328"/>
      <c r="CN21" s="328"/>
      <c r="CO21" s="160"/>
      <c r="CP21" s="326"/>
      <c r="CQ21" s="322"/>
      <c r="CR21" s="322"/>
      <c r="CS21" s="322"/>
      <c r="CT21" s="322"/>
      <c r="CU21" s="322"/>
      <c r="CV21" s="322"/>
      <c r="CW21" s="322"/>
      <c r="CX21" s="322"/>
      <c r="CY21" s="322"/>
      <c r="CZ21" s="322"/>
      <c r="DA21" s="322"/>
      <c r="DB21" s="322"/>
      <c r="DC21" s="322"/>
      <c r="DD21" s="322"/>
      <c r="DE21" s="322"/>
      <c r="DF21" s="322"/>
      <c r="DG21" s="322"/>
      <c r="DH21" s="322"/>
      <c r="DI21" s="322"/>
    </row>
    <row r="22" spans="1:113" s="329" customFormat="1" ht="18" hidden="1" outlineLevel="1" x14ac:dyDescent="0.3">
      <c r="A22" s="322"/>
      <c r="B22" s="89">
        <v>6</v>
      </c>
      <c r="C22" s="404" t="s">
        <v>230</v>
      </c>
      <c r="D22" s="405">
        <f t="shared" si="3"/>
        <v>40000</v>
      </c>
      <c r="E22" s="406" t="s">
        <v>269</v>
      </c>
      <c r="F22" s="171" t="s">
        <v>102</v>
      </c>
      <c r="G22" s="395">
        <v>2</v>
      </c>
      <c r="H22" s="396">
        <f t="shared" si="1"/>
        <v>5691</v>
      </c>
      <c r="I22" s="396">
        <f t="shared" si="2"/>
        <v>36</v>
      </c>
      <c r="J22" s="397">
        <f>IFERROR(Tabelle2[[#This Row],[€]]/Tabelle2[[#This Row],[Backer]],"")</f>
        <v>158.08333333333334</v>
      </c>
      <c r="K22" s="324"/>
      <c r="L22" s="324"/>
      <c r="M22" s="324"/>
      <c r="N22" s="324"/>
      <c r="O22" s="324"/>
      <c r="P22" s="220"/>
      <c r="Q22" s="220"/>
      <c r="R22" s="325"/>
      <c r="S22" s="324"/>
      <c r="T22" s="326"/>
      <c r="U22" s="326"/>
      <c r="V22" s="326"/>
      <c r="W22" s="326"/>
      <c r="X22" s="326"/>
      <c r="Y22" s="326"/>
      <c r="Z22" s="326"/>
      <c r="AA22" s="326"/>
      <c r="AB22" s="148"/>
      <c r="AC22" s="148"/>
      <c r="AD22" s="148"/>
      <c r="AE22" s="327"/>
      <c r="AF22" s="148"/>
      <c r="AG22" s="148"/>
      <c r="AH22" s="375"/>
      <c r="AI22" s="148"/>
      <c r="AJ22" s="375"/>
      <c r="AK22" s="148"/>
      <c r="AL22" s="148"/>
      <c r="AM22" s="148"/>
      <c r="AN22" s="148"/>
      <c r="AO22" s="148"/>
      <c r="AP22" s="148"/>
      <c r="AQ22" s="148"/>
      <c r="AR22" s="148"/>
      <c r="AS22" s="106"/>
      <c r="AT22" s="326"/>
      <c r="AU22" s="326"/>
      <c r="AV22" s="326"/>
      <c r="AW22" s="105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326"/>
      <c r="BZ22" s="328"/>
      <c r="CA22" s="328"/>
      <c r="CB22" s="326"/>
      <c r="CC22" s="326"/>
      <c r="CD22" s="328"/>
      <c r="CE22" s="328"/>
      <c r="CF22" s="326"/>
      <c r="CG22" s="326"/>
      <c r="CH22" s="328"/>
      <c r="CI22" s="328"/>
      <c r="CJ22" s="326"/>
      <c r="CK22" s="326"/>
      <c r="CL22" s="326"/>
      <c r="CM22" s="328"/>
      <c r="CN22" s="328"/>
      <c r="CO22" s="160"/>
      <c r="CP22" s="326"/>
      <c r="CQ22" s="322"/>
      <c r="CR22" s="322"/>
      <c r="CS22" s="322"/>
      <c r="CT22" s="322"/>
      <c r="CU22" s="322"/>
      <c r="CV22" s="322"/>
      <c r="CW22" s="322"/>
      <c r="CX22" s="322"/>
      <c r="CY22" s="322"/>
      <c r="CZ22" s="322"/>
      <c r="DA22" s="322"/>
      <c r="DB22" s="322"/>
      <c r="DC22" s="322"/>
      <c r="DD22" s="322"/>
      <c r="DE22" s="322"/>
      <c r="DF22" s="322"/>
      <c r="DG22" s="322"/>
      <c r="DH22" s="322"/>
      <c r="DI22" s="322"/>
    </row>
    <row r="23" spans="1:113" s="329" customFormat="1" ht="18" hidden="1" outlineLevel="1" x14ac:dyDescent="0.3">
      <c r="A23" s="322"/>
      <c r="B23" s="89">
        <v>7</v>
      </c>
      <c r="C23" s="404" t="s">
        <v>231</v>
      </c>
      <c r="D23" s="405">
        <f t="shared" si="3"/>
        <v>45000</v>
      </c>
      <c r="E23" s="406" t="s">
        <v>268</v>
      </c>
      <c r="F23" s="148" t="s">
        <v>26</v>
      </c>
      <c r="G23" s="395">
        <v>17</v>
      </c>
      <c r="H23" s="396">
        <f t="shared" si="1"/>
        <v>5272</v>
      </c>
      <c r="I23" s="396">
        <f t="shared" si="2"/>
        <v>33</v>
      </c>
      <c r="J23" s="397">
        <f>IFERROR(Tabelle2[[#This Row],[€]]/Tabelle2[[#This Row],[Backer]],"")</f>
        <v>159.75757575757575</v>
      </c>
      <c r="K23" s="324"/>
      <c r="L23" s="324"/>
      <c r="M23" s="324"/>
      <c r="N23" s="324"/>
      <c r="O23" s="324"/>
      <c r="P23" s="220"/>
      <c r="Q23" s="220"/>
      <c r="R23" s="325"/>
      <c r="S23" s="324"/>
      <c r="T23" s="326"/>
      <c r="U23" s="326"/>
      <c r="V23" s="326"/>
      <c r="W23" s="326"/>
      <c r="X23" s="326"/>
      <c r="Y23" s="326"/>
      <c r="Z23" s="326"/>
      <c r="AA23" s="326"/>
      <c r="AB23" s="148"/>
      <c r="AC23" s="148"/>
      <c r="AD23" s="148"/>
      <c r="AE23" s="327"/>
      <c r="AF23" s="148"/>
      <c r="AG23" s="148"/>
      <c r="AH23" s="375"/>
      <c r="AI23" s="148"/>
      <c r="AJ23" s="375"/>
      <c r="AK23" s="148"/>
      <c r="AL23" s="148"/>
      <c r="AM23" s="148"/>
      <c r="AN23" s="148"/>
      <c r="AO23" s="148"/>
      <c r="AP23" s="148"/>
      <c r="AQ23" s="148"/>
      <c r="AR23" s="148"/>
      <c r="AS23" s="106"/>
      <c r="AT23" s="326"/>
      <c r="AU23" s="326"/>
      <c r="AV23" s="326"/>
      <c r="AW23" s="105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326"/>
      <c r="BZ23" s="328"/>
      <c r="CA23" s="328"/>
      <c r="CB23" s="326"/>
      <c r="CC23" s="326"/>
      <c r="CD23" s="328"/>
      <c r="CE23" s="328"/>
      <c r="CF23" s="326"/>
      <c r="CG23" s="326"/>
      <c r="CH23" s="328"/>
      <c r="CI23" s="328"/>
      <c r="CJ23" s="326"/>
      <c r="CK23" s="326"/>
      <c r="CL23" s="326"/>
      <c r="CM23" s="328"/>
      <c r="CN23" s="328"/>
      <c r="CO23" s="160"/>
      <c r="CP23" s="326"/>
      <c r="CQ23" s="322"/>
      <c r="CR23" s="322"/>
      <c r="CS23" s="322"/>
      <c r="CT23" s="322"/>
      <c r="CU23" s="322"/>
      <c r="CV23" s="322"/>
      <c r="CW23" s="322"/>
      <c r="CX23" s="322"/>
      <c r="CY23" s="322"/>
      <c r="CZ23" s="322"/>
      <c r="DA23" s="322"/>
      <c r="DB23" s="322"/>
      <c r="DC23" s="322"/>
      <c r="DD23" s="322"/>
      <c r="DE23" s="322"/>
      <c r="DF23" s="322"/>
      <c r="DG23" s="322"/>
      <c r="DH23" s="322"/>
      <c r="DI23" s="322"/>
    </row>
    <row r="24" spans="1:113" s="329" customFormat="1" ht="18" hidden="1" outlineLevel="1" x14ac:dyDescent="0.3">
      <c r="A24" s="322"/>
      <c r="B24" s="89">
        <v>8</v>
      </c>
      <c r="C24" s="404" t="s">
        <v>232</v>
      </c>
      <c r="D24" s="405">
        <f t="shared" si="3"/>
        <v>50000</v>
      </c>
      <c r="E24" s="406" t="s">
        <v>267</v>
      </c>
      <c r="F24" s="171" t="s">
        <v>103</v>
      </c>
      <c r="G24" s="395">
        <v>19</v>
      </c>
      <c r="H24" s="396">
        <f t="shared" si="1"/>
        <v>4507</v>
      </c>
      <c r="I24" s="396">
        <f t="shared" si="2"/>
        <v>28</v>
      </c>
      <c r="J24" s="397">
        <f>IFERROR(Tabelle2[[#This Row],[€]]/Tabelle2[[#This Row],[Backer]],"")</f>
        <v>160.96428571428572</v>
      </c>
      <c r="K24" s="324"/>
      <c r="L24" s="324"/>
      <c r="M24" s="324"/>
      <c r="N24" s="324"/>
      <c r="O24" s="324"/>
      <c r="P24" s="220"/>
      <c r="Q24" s="220"/>
      <c r="R24" s="325"/>
      <c r="S24" s="324"/>
      <c r="T24" s="326"/>
      <c r="U24" s="326"/>
      <c r="V24" s="326"/>
      <c r="W24" s="326"/>
      <c r="X24" s="326"/>
      <c r="Y24" s="326"/>
      <c r="Z24" s="326"/>
      <c r="AA24" s="326"/>
      <c r="AB24" s="148"/>
      <c r="AC24" s="148"/>
      <c r="AD24" s="148"/>
      <c r="AE24" s="327"/>
      <c r="AF24" s="148"/>
      <c r="AG24" s="148"/>
      <c r="AH24" s="375"/>
      <c r="AI24" s="148"/>
      <c r="AJ24" s="375"/>
      <c r="AK24" s="148"/>
      <c r="AL24" s="148"/>
      <c r="AM24" s="148"/>
      <c r="AN24" s="148"/>
      <c r="AO24" s="148"/>
      <c r="AP24" s="148"/>
      <c r="AQ24" s="148"/>
      <c r="AR24" s="148"/>
      <c r="AS24" s="106"/>
      <c r="AT24" s="326"/>
      <c r="AU24" s="326"/>
      <c r="AV24" s="326"/>
      <c r="AW24" s="105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326"/>
      <c r="BZ24" s="328"/>
      <c r="CA24" s="328"/>
      <c r="CB24" s="326"/>
      <c r="CC24" s="326"/>
      <c r="CD24" s="328"/>
      <c r="CE24" s="328"/>
      <c r="CF24" s="326"/>
      <c r="CG24" s="326"/>
      <c r="CH24" s="328"/>
      <c r="CI24" s="328"/>
      <c r="CJ24" s="326"/>
      <c r="CK24" s="326"/>
      <c r="CL24" s="326"/>
      <c r="CM24" s="328"/>
      <c r="CN24" s="328"/>
      <c r="CO24" s="160"/>
      <c r="CP24" s="326"/>
      <c r="CQ24" s="322"/>
      <c r="CR24" s="322"/>
      <c r="CS24" s="322"/>
      <c r="CT24" s="322"/>
      <c r="CU24" s="322"/>
      <c r="CV24" s="322"/>
      <c r="CW24" s="322"/>
      <c r="CX24" s="322"/>
      <c r="CY24" s="322"/>
      <c r="CZ24" s="322"/>
      <c r="DA24" s="322"/>
      <c r="DB24" s="322"/>
      <c r="DC24" s="322"/>
      <c r="DD24" s="322"/>
      <c r="DE24" s="322"/>
      <c r="DF24" s="322"/>
      <c r="DG24" s="322"/>
      <c r="DH24" s="322"/>
      <c r="DI24" s="322"/>
    </row>
    <row r="25" spans="1:113" s="329" customFormat="1" ht="18" hidden="1" outlineLevel="1" x14ac:dyDescent="0.3">
      <c r="A25" s="322"/>
      <c r="B25" s="89">
        <v>9</v>
      </c>
      <c r="C25" s="404" t="s">
        <v>233</v>
      </c>
      <c r="D25" s="405">
        <f t="shared" si="3"/>
        <v>55000</v>
      </c>
      <c r="E25" s="406" t="s">
        <v>266</v>
      </c>
      <c r="F25" s="148" t="s">
        <v>28</v>
      </c>
      <c r="G25" s="395">
        <v>8</v>
      </c>
      <c r="H25" s="396">
        <f t="shared" si="1"/>
        <v>4463</v>
      </c>
      <c r="I25" s="396">
        <f t="shared" si="2"/>
        <v>25</v>
      </c>
      <c r="J25" s="397">
        <f>IFERROR(Tabelle2[[#This Row],[€]]/Tabelle2[[#This Row],[Backer]],"")</f>
        <v>178.52</v>
      </c>
      <c r="K25" s="324"/>
      <c r="L25" s="324"/>
      <c r="M25" s="324"/>
      <c r="N25" s="324"/>
      <c r="O25" s="324"/>
      <c r="P25" s="220"/>
      <c r="Q25" s="220"/>
      <c r="R25" s="325"/>
      <c r="S25" s="324"/>
      <c r="T25" s="326"/>
      <c r="U25" s="326"/>
      <c r="V25" s="326"/>
      <c r="W25" s="326"/>
      <c r="X25" s="326"/>
      <c r="Y25" s="326"/>
      <c r="Z25" s="326"/>
      <c r="AA25" s="326"/>
      <c r="AB25" s="148"/>
      <c r="AC25" s="148"/>
      <c r="AD25" s="148"/>
      <c r="AE25" s="327"/>
      <c r="AF25" s="148"/>
      <c r="AG25" s="148"/>
      <c r="AH25" s="375"/>
      <c r="AI25" s="148"/>
      <c r="AJ25" s="375"/>
      <c r="AK25" s="148"/>
      <c r="AL25" s="148"/>
      <c r="AM25" s="148"/>
      <c r="AN25" s="148"/>
      <c r="AO25" s="148"/>
      <c r="AP25" s="148"/>
      <c r="AQ25" s="148"/>
      <c r="AR25" s="148"/>
      <c r="AS25" s="106"/>
      <c r="AT25" s="326"/>
      <c r="AU25" s="326"/>
      <c r="AV25" s="326"/>
      <c r="AW25" s="105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326"/>
      <c r="BZ25" s="328"/>
      <c r="CA25" s="328"/>
      <c r="CB25" s="326"/>
      <c r="CC25" s="326"/>
      <c r="CD25" s="328"/>
      <c r="CE25" s="328"/>
      <c r="CF25" s="326"/>
      <c r="CG25" s="326"/>
      <c r="CH25" s="328"/>
      <c r="CI25" s="328"/>
      <c r="CJ25" s="326"/>
      <c r="CK25" s="326"/>
      <c r="CL25" s="326"/>
      <c r="CM25" s="328"/>
      <c r="CN25" s="328"/>
      <c r="CO25" s="160"/>
      <c r="CP25" s="326"/>
      <c r="CQ25" s="322"/>
      <c r="CR25" s="322"/>
      <c r="CS25" s="322"/>
      <c r="CT25" s="322"/>
      <c r="CU25" s="322"/>
      <c r="CV25" s="322"/>
      <c r="CW25" s="322"/>
      <c r="CX25" s="322"/>
      <c r="CY25" s="322"/>
      <c r="CZ25" s="322"/>
      <c r="DA25" s="322"/>
      <c r="DB25" s="322"/>
      <c r="DC25" s="322"/>
      <c r="DD25" s="322"/>
      <c r="DE25" s="322"/>
      <c r="DF25" s="322"/>
      <c r="DG25" s="322"/>
      <c r="DH25" s="322"/>
      <c r="DI25" s="322"/>
    </row>
    <row r="26" spans="1:113" s="329" customFormat="1" ht="18" hidden="1" outlineLevel="1" x14ac:dyDescent="0.3">
      <c r="A26" s="322"/>
      <c r="B26" s="89">
        <v>10</v>
      </c>
      <c r="C26" s="404" t="s">
        <v>234</v>
      </c>
      <c r="D26" s="405">
        <f t="shared" si="3"/>
        <v>60000</v>
      </c>
      <c r="E26" s="406" t="s">
        <v>272</v>
      </c>
      <c r="F26" s="148" t="s">
        <v>27</v>
      </c>
      <c r="G26" s="395">
        <v>7</v>
      </c>
      <c r="H26" s="396">
        <f t="shared" si="1"/>
        <v>4461</v>
      </c>
      <c r="I26" s="396">
        <f t="shared" si="2"/>
        <v>21</v>
      </c>
      <c r="J26" s="397">
        <f>IFERROR(Tabelle2[[#This Row],[€]]/Tabelle2[[#This Row],[Backer]],"")</f>
        <v>212.42857142857142</v>
      </c>
      <c r="K26" s="324"/>
      <c r="L26" s="324"/>
      <c r="M26" s="324"/>
      <c r="N26" s="324"/>
      <c r="O26" s="324"/>
      <c r="P26" s="220"/>
      <c r="Q26" s="220"/>
      <c r="R26" s="325"/>
      <c r="S26" s="324"/>
      <c r="T26" s="326"/>
      <c r="U26" s="326"/>
      <c r="V26" s="326"/>
      <c r="W26" s="326"/>
      <c r="X26" s="326"/>
      <c r="Y26" s="326"/>
      <c r="Z26" s="326"/>
      <c r="AA26" s="326"/>
      <c r="AB26" s="148"/>
      <c r="AC26" s="148"/>
      <c r="AD26" s="148"/>
      <c r="AE26" s="327"/>
      <c r="AF26" s="148"/>
      <c r="AG26" s="148"/>
      <c r="AH26" s="375"/>
      <c r="AI26" s="148"/>
      <c r="AJ26" s="375"/>
      <c r="AK26" s="148"/>
      <c r="AL26" s="148"/>
      <c r="AM26" s="148"/>
      <c r="AN26" s="148"/>
      <c r="AO26" s="148"/>
      <c r="AP26" s="148"/>
      <c r="AQ26" s="148"/>
      <c r="AR26" s="148"/>
      <c r="AS26" s="106"/>
      <c r="AT26" s="326"/>
      <c r="AU26" s="326"/>
      <c r="AV26" s="326"/>
      <c r="AW26" s="105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326"/>
      <c r="BZ26" s="328"/>
      <c r="CA26" s="328"/>
      <c r="CB26" s="326"/>
      <c r="CC26" s="326"/>
      <c r="CD26" s="328"/>
      <c r="CE26" s="328"/>
      <c r="CF26" s="326"/>
      <c r="CG26" s="326"/>
      <c r="CH26" s="328"/>
      <c r="CI26" s="328"/>
      <c r="CJ26" s="326"/>
      <c r="CK26" s="326"/>
      <c r="CL26" s="326"/>
      <c r="CM26" s="328"/>
      <c r="CN26" s="328"/>
      <c r="CO26" s="160"/>
      <c r="CP26" s="326"/>
      <c r="CQ26" s="322"/>
      <c r="CR26" s="322"/>
      <c r="CS26" s="322"/>
      <c r="CT26" s="322"/>
      <c r="CU26" s="322"/>
      <c r="CV26" s="322"/>
      <c r="CW26" s="322"/>
      <c r="CX26" s="322"/>
      <c r="CY26" s="322"/>
      <c r="CZ26" s="322"/>
      <c r="DA26" s="322"/>
      <c r="DB26" s="322"/>
      <c r="DC26" s="322"/>
      <c r="DD26" s="322"/>
      <c r="DE26" s="322"/>
      <c r="DF26" s="322"/>
      <c r="DG26" s="322"/>
      <c r="DH26" s="322"/>
      <c r="DI26" s="322"/>
    </row>
    <row r="27" spans="1:113" s="329" customFormat="1" ht="18" hidden="1" outlineLevel="1" x14ac:dyDescent="0.3">
      <c r="A27" s="322"/>
      <c r="B27" s="89">
        <v>11</v>
      </c>
      <c r="C27" s="404" t="s">
        <v>235</v>
      </c>
      <c r="D27" s="405">
        <f t="shared" si="3"/>
        <v>65000</v>
      </c>
      <c r="E27" s="406" t="s">
        <v>265</v>
      </c>
      <c r="F27" s="148" t="s">
        <v>29</v>
      </c>
      <c r="G27" s="395">
        <v>15</v>
      </c>
      <c r="H27" s="396">
        <f t="shared" si="1"/>
        <v>3543</v>
      </c>
      <c r="I27" s="396">
        <f t="shared" si="2"/>
        <v>20</v>
      </c>
      <c r="J27" s="397">
        <f>IFERROR(Tabelle2[[#This Row],[€]]/Tabelle2[[#This Row],[Backer]],"")</f>
        <v>177.15</v>
      </c>
      <c r="K27" s="324"/>
      <c r="L27" s="324"/>
      <c r="M27" s="324"/>
      <c r="N27" s="324"/>
      <c r="O27" s="324"/>
      <c r="P27" s="220"/>
      <c r="Q27" s="220"/>
      <c r="R27" s="325"/>
      <c r="S27" s="324"/>
      <c r="T27" s="326"/>
      <c r="U27" s="326"/>
      <c r="V27" s="326"/>
      <c r="W27" s="326"/>
      <c r="X27" s="326"/>
      <c r="Y27" s="326"/>
      <c r="Z27" s="326"/>
      <c r="AA27" s="326"/>
      <c r="AB27" s="148"/>
      <c r="AC27" s="148"/>
      <c r="AD27" s="148"/>
      <c r="AE27" s="327"/>
      <c r="AF27" s="148"/>
      <c r="AG27" s="148"/>
      <c r="AH27" s="375"/>
      <c r="AI27" s="148"/>
      <c r="AJ27" s="375"/>
      <c r="AK27" s="148"/>
      <c r="AL27" s="148"/>
      <c r="AM27" s="148"/>
      <c r="AN27" s="148"/>
      <c r="AO27" s="148"/>
      <c r="AP27" s="148"/>
      <c r="AQ27" s="148"/>
      <c r="AR27" s="148"/>
      <c r="AS27" s="106"/>
      <c r="AT27" s="326"/>
      <c r="AU27" s="326"/>
      <c r="AV27" s="326"/>
      <c r="AW27" s="105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326"/>
      <c r="BZ27" s="328"/>
      <c r="CA27" s="328"/>
      <c r="CB27" s="326"/>
      <c r="CC27" s="326"/>
      <c r="CD27" s="328"/>
      <c r="CE27" s="328"/>
      <c r="CF27" s="326"/>
      <c r="CG27" s="326"/>
      <c r="CH27" s="328"/>
      <c r="CI27" s="328"/>
      <c r="CJ27" s="326"/>
      <c r="CK27" s="326"/>
      <c r="CL27" s="326"/>
      <c r="CM27" s="328"/>
      <c r="CN27" s="328"/>
      <c r="CO27" s="160"/>
      <c r="CP27" s="326"/>
      <c r="CQ27" s="322"/>
      <c r="CR27" s="322"/>
      <c r="CS27" s="322"/>
      <c r="CT27" s="322"/>
      <c r="CU27" s="322"/>
      <c r="CV27" s="322"/>
      <c r="CW27" s="322"/>
      <c r="CX27" s="322"/>
      <c r="CY27" s="322"/>
      <c r="CZ27" s="322"/>
      <c r="DA27" s="322"/>
      <c r="DB27" s="322"/>
      <c r="DC27" s="322"/>
      <c r="DD27" s="322"/>
      <c r="DE27" s="322"/>
      <c r="DF27" s="322"/>
      <c r="DG27" s="322"/>
      <c r="DH27" s="322"/>
      <c r="DI27" s="322"/>
    </row>
    <row r="28" spans="1:113" s="329" customFormat="1" ht="18" hidden="1" outlineLevel="1" x14ac:dyDescent="0.3">
      <c r="A28" s="322"/>
      <c r="B28" s="89">
        <v>12</v>
      </c>
      <c r="C28" s="404" t="s">
        <v>236</v>
      </c>
      <c r="D28" s="405">
        <f t="shared" si="3"/>
        <v>70000</v>
      </c>
      <c r="E28" s="406" t="s">
        <v>264</v>
      </c>
      <c r="F28" s="148" t="s">
        <v>104</v>
      </c>
      <c r="G28" s="395">
        <v>16</v>
      </c>
      <c r="H28" s="396">
        <f t="shared" si="1"/>
        <v>3477</v>
      </c>
      <c r="I28" s="396">
        <f t="shared" si="2"/>
        <v>23</v>
      </c>
      <c r="J28" s="397">
        <f>IFERROR(Tabelle2[[#This Row],[€]]/Tabelle2[[#This Row],[Backer]],"")</f>
        <v>151.17391304347825</v>
      </c>
      <c r="K28" s="324"/>
      <c r="L28" s="324"/>
      <c r="M28" s="324"/>
      <c r="N28" s="324"/>
      <c r="O28" s="324"/>
      <c r="P28" s="220"/>
      <c r="Q28" s="220"/>
      <c r="R28" s="325"/>
      <c r="S28" s="324"/>
      <c r="T28" s="326"/>
      <c r="U28" s="326"/>
      <c r="V28" s="326"/>
      <c r="W28" s="326"/>
      <c r="X28" s="326"/>
      <c r="Y28" s="326"/>
      <c r="Z28" s="326"/>
      <c r="AA28" s="326"/>
      <c r="AB28" s="148"/>
      <c r="AC28" s="148"/>
      <c r="AD28" s="148"/>
      <c r="AE28" s="327"/>
      <c r="AF28" s="148"/>
      <c r="AG28" s="148"/>
      <c r="AH28" s="375"/>
      <c r="AI28" s="148"/>
      <c r="AJ28" s="375"/>
      <c r="AK28" s="148"/>
      <c r="AL28" s="148"/>
      <c r="AM28" s="148"/>
      <c r="AN28" s="148"/>
      <c r="AO28" s="148"/>
      <c r="AP28" s="148"/>
      <c r="AQ28" s="148"/>
      <c r="AR28" s="148"/>
      <c r="AS28" s="106"/>
      <c r="AT28" s="326"/>
      <c r="AU28" s="326"/>
      <c r="AV28" s="326"/>
      <c r="AW28" s="105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326"/>
      <c r="BZ28" s="328"/>
      <c r="CA28" s="328"/>
      <c r="CB28" s="326"/>
      <c r="CC28" s="326"/>
      <c r="CD28" s="328"/>
      <c r="CE28" s="328"/>
      <c r="CF28" s="326"/>
      <c r="CG28" s="326"/>
      <c r="CH28" s="328"/>
      <c r="CI28" s="328"/>
      <c r="CJ28" s="326"/>
      <c r="CK28" s="326"/>
      <c r="CL28" s="326"/>
      <c r="CM28" s="328"/>
      <c r="CN28" s="328"/>
      <c r="CO28" s="160"/>
      <c r="CP28" s="326"/>
      <c r="CQ28" s="322"/>
      <c r="CR28" s="322"/>
      <c r="CS28" s="322"/>
      <c r="CT28" s="322"/>
      <c r="CU28" s="322"/>
      <c r="CV28" s="322"/>
      <c r="CW28" s="322"/>
      <c r="CX28" s="322"/>
      <c r="CY28" s="322"/>
      <c r="CZ28" s="322"/>
      <c r="DA28" s="322"/>
      <c r="DB28" s="322"/>
      <c r="DC28" s="322"/>
      <c r="DD28" s="322"/>
      <c r="DE28" s="322"/>
      <c r="DF28" s="322"/>
      <c r="DG28" s="322"/>
      <c r="DH28" s="322"/>
      <c r="DI28" s="322"/>
    </row>
    <row r="29" spans="1:113" s="329" customFormat="1" ht="18" hidden="1" outlineLevel="1" x14ac:dyDescent="0.3">
      <c r="A29" s="322"/>
      <c r="B29" s="89">
        <v>13</v>
      </c>
      <c r="C29" s="404" t="s">
        <v>237</v>
      </c>
      <c r="D29" s="405">
        <f t="shared" si="3"/>
        <v>75000</v>
      </c>
      <c r="E29" s="406" t="s">
        <v>263</v>
      </c>
      <c r="F29" s="148" t="s">
        <v>32</v>
      </c>
      <c r="G29" s="395">
        <v>4</v>
      </c>
      <c r="H29" s="396">
        <f t="shared" si="1"/>
        <v>3406</v>
      </c>
      <c r="I29" s="396">
        <f t="shared" si="2"/>
        <v>19</v>
      </c>
      <c r="J29" s="397">
        <f>IFERROR(Tabelle2[[#This Row],[€]]/Tabelle2[[#This Row],[Backer]],"")</f>
        <v>179.26315789473685</v>
      </c>
      <c r="K29" s="324"/>
      <c r="L29" s="324"/>
      <c r="M29" s="324"/>
      <c r="N29" s="324"/>
      <c r="O29" s="324"/>
      <c r="P29" s="220"/>
      <c r="Q29" s="220"/>
      <c r="R29" s="325"/>
      <c r="S29" s="324"/>
      <c r="T29" s="326"/>
      <c r="U29" s="326"/>
      <c r="V29" s="326"/>
      <c r="W29" s="326"/>
      <c r="X29" s="326"/>
      <c r="Y29" s="326"/>
      <c r="Z29" s="326"/>
      <c r="AA29" s="326"/>
      <c r="AB29" s="148"/>
      <c r="AC29" s="148"/>
      <c r="AD29" s="148"/>
      <c r="AE29" s="327"/>
      <c r="AF29" s="148"/>
      <c r="AG29" s="148"/>
      <c r="AH29" s="375"/>
      <c r="AI29" s="148"/>
      <c r="AJ29" s="375"/>
      <c r="AK29" s="148"/>
      <c r="AL29" s="148"/>
      <c r="AM29" s="148"/>
      <c r="AN29" s="148"/>
      <c r="AO29" s="148"/>
      <c r="AP29" s="148"/>
      <c r="AQ29" s="148"/>
      <c r="AR29" s="148"/>
      <c r="AS29" s="106"/>
      <c r="AT29" s="326"/>
      <c r="AU29" s="326"/>
      <c r="AV29" s="326"/>
      <c r="AW29" s="105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326"/>
      <c r="BZ29" s="328"/>
      <c r="CA29" s="328"/>
      <c r="CB29" s="326"/>
      <c r="CC29" s="326"/>
      <c r="CD29" s="328"/>
      <c r="CE29" s="328"/>
      <c r="CF29" s="326"/>
      <c r="CG29" s="326"/>
      <c r="CH29" s="328"/>
      <c r="CI29" s="328"/>
      <c r="CJ29" s="326"/>
      <c r="CK29" s="326"/>
      <c r="CL29" s="326"/>
      <c r="CM29" s="328"/>
      <c r="CN29" s="328"/>
      <c r="CO29" s="160"/>
      <c r="CP29" s="326"/>
      <c r="CQ29" s="322"/>
      <c r="CR29" s="322"/>
      <c r="CS29" s="322"/>
      <c r="CT29" s="322"/>
      <c r="CU29" s="322"/>
      <c r="CV29" s="322"/>
      <c r="CW29" s="322"/>
      <c r="CX29" s="322"/>
      <c r="CY29" s="322"/>
      <c r="CZ29" s="322"/>
      <c r="DA29" s="322"/>
      <c r="DB29" s="322"/>
      <c r="DC29" s="322"/>
      <c r="DD29" s="322"/>
      <c r="DE29" s="322"/>
      <c r="DF29" s="322"/>
      <c r="DG29" s="322"/>
      <c r="DH29" s="322"/>
      <c r="DI29" s="322"/>
    </row>
    <row r="30" spans="1:113" s="329" customFormat="1" ht="18" hidden="1" outlineLevel="1" x14ac:dyDescent="0.3">
      <c r="A30" s="322"/>
      <c r="B30" s="89">
        <v>14</v>
      </c>
      <c r="C30" s="404" t="s">
        <v>238</v>
      </c>
      <c r="D30" s="405">
        <f t="shared" si="3"/>
        <v>80000</v>
      </c>
      <c r="E30" s="406" t="s">
        <v>275</v>
      </c>
      <c r="F30" s="148" t="s">
        <v>105</v>
      </c>
      <c r="G30" s="395">
        <v>14</v>
      </c>
      <c r="H30" s="396">
        <f t="shared" si="1"/>
        <v>3360</v>
      </c>
      <c r="I30" s="396">
        <f t="shared" si="2"/>
        <v>20</v>
      </c>
      <c r="J30" s="397">
        <f>IFERROR(Tabelle2[[#This Row],[€]]/Tabelle2[[#This Row],[Backer]],"")</f>
        <v>168</v>
      </c>
      <c r="K30" s="324"/>
      <c r="L30" s="324"/>
      <c r="M30" s="324"/>
      <c r="N30" s="324"/>
      <c r="O30" s="324"/>
      <c r="P30" s="220"/>
      <c r="Q30" s="220"/>
      <c r="R30" s="325"/>
      <c r="S30" s="324"/>
      <c r="T30" s="326"/>
      <c r="U30" s="326"/>
      <c r="V30" s="326"/>
      <c r="W30" s="326"/>
      <c r="X30" s="326"/>
      <c r="Y30" s="326"/>
      <c r="Z30" s="326"/>
      <c r="AA30" s="326"/>
      <c r="AB30" s="148"/>
      <c r="AC30" s="148"/>
      <c r="AD30" s="148"/>
      <c r="AE30" s="327"/>
      <c r="AF30" s="148"/>
      <c r="AG30" s="148"/>
      <c r="AH30" s="375"/>
      <c r="AI30" s="148"/>
      <c r="AJ30" s="375"/>
      <c r="AK30" s="148"/>
      <c r="AL30" s="148"/>
      <c r="AM30" s="148"/>
      <c r="AN30" s="148"/>
      <c r="AO30" s="148"/>
      <c r="AP30" s="148"/>
      <c r="AQ30" s="148"/>
      <c r="AR30" s="148"/>
      <c r="AS30" s="106"/>
      <c r="AT30" s="326"/>
      <c r="AU30" s="326"/>
      <c r="AV30" s="326"/>
      <c r="AW30" s="105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326"/>
      <c r="BZ30" s="328"/>
      <c r="CA30" s="328"/>
      <c r="CB30" s="326"/>
      <c r="CC30" s="326"/>
      <c r="CD30" s="328"/>
      <c r="CE30" s="328"/>
      <c r="CF30" s="326"/>
      <c r="CG30" s="326"/>
      <c r="CH30" s="328"/>
      <c r="CI30" s="328"/>
      <c r="CJ30" s="326"/>
      <c r="CK30" s="326"/>
      <c r="CL30" s="326"/>
      <c r="CM30" s="328"/>
      <c r="CN30" s="328"/>
      <c r="CO30" s="160"/>
      <c r="CP30" s="326"/>
      <c r="CQ30" s="322"/>
      <c r="CR30" s="322"/>
      <c r="CS30" s="322"/>
      <c r="CT30" s="322"/>
      <c r="CU30" s="322"/>
      <c r="CV30" s="322"/>
      <c r="CW30" s="322"/>
      <c r="CX30" s="322"/>
      <c r="CY30" s="322"/>
      <c r="CZ30" s="322"/>
      <c r="DA30" s="322"/>
      <c r="DB30" s="322"/>
      <c r="DC30" s="322"/>
      <c r="DD30" s="322"/>
      <c r="DE30" s="322"/>
      <c r="DF30" s="322"/>
      <c r="DG30" s="322"/>
      <c r="DH30" s="322"/>
      <c r="DI30" s="322"/>
    </row>
    <row r="31" spans="1:113" s="329" customFormat="1" ht="18" hidden="1" outlineLevel="1" x14ac:dyDescent="0.3">
      <c r="A31" s="322"/>
      <c r="B31" s="89">
        <v>15</v>
      </c>
      <c r="C31" s="404" t="s">
        <v>239</v>
      </c>
      <c r="D31" s="405">
        <f t="shared" si="3"/>
        <v>85000</v>
      </c>
      <c r="E31" s="406" t="s">
        <v>263</v>
      </c>
      <c r="F31" s="148" t="s">
        <v>33</v>
      </c>
      <c r="G31" s="395">
        <v>18</v>
      </c>
      <c r="H31" s="396">
        <f t="shared" si="1"/>
        <v>3151</v>
      </c>
      <c r="I31" s="396">
        <f t="shared" si="2"/>
        <v>20</v>
      </c>
      <c r="J31" s="397">
        <f>IFERROR(Tabelle2[[#This Row],[€]]/Tabelle2[[#This Row],[Backer]],"")</f>
        <v>157.55000000000001</v>
      </c>
      <c r="K31" s="324"/>
      <c r="L31" s="324"/>
      <c r="M31" s="324"/>
      <c r="N31" s="324"/>
      <c r="O31" s="324"/>
      <c r="P31" s="220"/>
      <c r="Q31" s="220"/>
      <c r="R31" s="325"/>
      <c r="S31" s="324"/>
      <c r="T31" s="326"/>
      <c r="U31" s="326"/>
      <c r="V31" s="326"/>
      <c r="W31" s="326"/>
      <c r="X31" s="326"/>
      <c r="Y31" s="326"/>
      <c r="Z31" s="326"/>
      <c r="AA31" s="326"/>
      <c r="AB31" s="148"/>
      <c r="AC31" s="148"/>
      <c r="AD31" s="148"/>
      <c r="AE31" s="327"/>
      <c r="AF31" s="148"/>
      <c r="AG31" s="148"/>
      <c r="AH31" s="375"/>
      <c r="AI31" s="148"/>
      <c r="AJ31" s="375"/>
      <c r="AK31" s="148"/>
      <c r="AL31" s="148"/>
      <c r="AM31" s="148"/>
      <c r="AN31" s="148"/>
      <c r="AO31" s="148"/>
      <c r="AP31" s="148"/>
      <c r="AQ31" s="148"/>
      <c r="AR31" s="148"/>
      <c r="AS31" s="106"/>
      <c r="AT31" s="326"/>
      <c r="AU31" s="326"/>
      <c r="AV31" s="326"/>
      <c r="AW31" s="105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326"/>
      <c r="BZ31" s="328"/>
      <c r="CA31" s="328"/>
      <c r="CB31" s="326"/>
      <c r="CC31" s="326"/>
      <c r="CD31" s="328"/>
      <c r="CE31" s="328"/>
      <c r="CF31" s="326"/>
      <c r="CG31" s="326"/>
      <c r="CH31" s="328"/>
      <c r="CI31" s="328"/>
      <c r="CJ31" s="326"/>
      <c r="CK31" s="326"/>
      <c r="CL31" s="326"/>
      <c r="CM31" s="328"/>
      <c r="CN31" s="328"/>
      <c r="CO31" s="160"/>
      <c r="CP31" s="326"/>
      <c r="CQ31" s="322"/>
      <c r="CR31" s="322"/>
      <c r="CS31" s="322"/>
      <c r="CT31" s="322"/>
      <c r="CU31" s="322"/>
      <c r="CV31" s="322"/>
      <c r="CW31" s="322"/>
      <c r="CX31" s="322"/>
      <c r="CY31" s="322"/>
      <c r="CZ31" s="322"/>
      <c r="DA31" s="322"/>
      <c r="DB31" s="322"/>
      <c r="DC31" s="322"/>
      <c r="DD31" s="322"/>
      <c r="DE31" s="322"/>
      <c r="DF31" s="322"/>
      <c r="DG31" s="322"/>
      <c r="DH31" s="322"/>
      <c r="DI31" s="322"/>
    </row>
    <row r="32" spans="1:113" s="329" customFormat="1" ht="18" hidden="1" outlineLevel="1" x14ac:dyDescent="0.3">
      <c r="A32" s="322"/>
      <c r="B32" s="89">
        <v>16</v>
      </c>
      <c r="C32" s="404" t="s">
        <v>240</v>
      </c>
      <c r="D32" s="405">
        <f t="shared" si="3"/>
        <v>90000</v>
      </c>
      <c r="E32" s="406" t="s">
        <v>276</v>
      </c>
      <c r="F32" s="148" t="s">
        <v>106</v>
      </c>
      <c r="G32" s="395">
        <v>5</v>
      </c>
      <c r="H32" s="396">
        <f t="shared" si="1"/>
        <v>2761</v>
      </c>
      <c r="I32" s="396">
        <f t="shared" si="2"/>
        <v>17</v>
      </c>
      <c r="J32" s="397">
        <f>IFERROR(Tabelle2[[#This Row],[€]]/Tabelle2[[#This Row],[Backer]],"")</f>
        <v>162.41176470588235</v>
      </c>
      <c r="K32" s="324"/>
      <c r="L32" s="324"/>
      <c r="M32" s="324"/>
      <c r="N32" s="324"/>
      <c r="O32" s="324"/>
      <c r="P32" s="220"/>
      <c r="Q32" s="220"/>
      <c r="R32" s="325"/>
      <c r="S32" s="324"/>
      <c r="T32" s="326"/>
      <c r="U32" s="326"/>
      <c r="V32" s="326"/>
      <c r="W32" s="326"/>
      <c r="X32" s="326"/>
      <c r="Y32" s="326"/>
      <c r="Z32" s="326"/>
      <c r="AA32" s="326"/>
      <c r="AB32" s="148"/>
      <c r="AC32" s="148"/>
      <c r="AD32" s="148"/>
      <c r="AE32" s="327"/>
      <c r="AF32" s="148"/>
      <c r="AG32" s="148"/>
      <c r="AH32" s="375"/>
      <c r="AI32" s="148"/>
      <c r="AJ32" s="375"/>
      <c r="AK32" s="148"/>
      <c r="AL32" s="148"/>
      <c r="AM32" s="148"/>
      <c r="AN32" s="148"/>
      <c r="AO32" s="148"/>
      <c r="AP32" s="148"/>
      <c r="AQ32" s="148"/>
      <c r="AR32" s="148"/>
      <c r="AS32" s="106"/>
      <c r="AT32" s="326"/>
      <c r="AU32" s="326"/>
      <c r="AV32" s="326"/>
      <c r="AW32" s="105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326"/>
      <c r="BZ32" s="328"/>
      <c r="CA32" s="328"/>
      <c r="CB32" s="326"/>
      <c r="CC32" s="326"/>
      <c r="CD32" s="328"/>
      <c r="CE32" s="328"/>
      <c r="CF32" s="326"/>
      <c r="CG32" s="326"/>
      <c r="CH32" s="328"/>
      <c r="CI32" s="328"/>
      <c r="CJ32" s="326"/>
      <c r="CK32" s="326"/>
      <c r="CL32" s="326"/>
      <c r="CM32" s="328"/>
      <c r="CN32" s="328"/>
      <c r="CO32" s="160"/>
      <c r="CP32" s="326"/>
      <c r="CQ32" s="322"/>
      <c r="CR32" s="322"/>
      <c r="CS32" s="322"/>
      <c r="CT32" s="322"/>
      <c r="CU32" s="322"/>
      <c r="CV32" s="322"/>
      <c r="CW32" s="322"/>
      <c r="CX32" s="322"/>
      <c r="CY32" s="322"/>
      <c r="CZ32" s="322"/>
      <c r="DA32" s="322"/>
      <c r="DB32" s="322"/>
      <c r="DC32" s="322"/>
      <c r="DD32" s="322"/>
      <c r="DE32" s="322"/>
      <c r="DF32" s="322"/>
      <c r="DG32" s="322"/>
      <c r="DH32" s="322"/>
      <c r="DI32" s="322"/>
    </row>
    <row r="33" spans="1:113" s="329" customFormat="1" ht="18" hidden="1" outlineLevel="1" x14ac:dyDescent="0.3">
      <c r="A33" s="322"/>
      <c r="B33" s="89">
        <v>17</v>
      </c>
      <c r="C33" s="404" t="s">
        <v>243</v>
      </c>
      <c r="D33" s="405">
        <f t="shared" si="3"/>
        <v>95000</v>
      </c>
      <c r="E33" s="406" t="s">
        <v>260</v>
      </c>
      <c r="F33" s="148" t="s">
        <v>107</v>
      </c>
      <c r="G33" s="395">
        <v>12</v>
      </c>
      <c r="H33" s="396">
        <f t="shared" si="1"/>
        <v>2387</v>
      </c>
      <c r="I33" s="396">
        <f t="shared" si="2"/>
        <v>16</v>
      </c>
      <c r="J33" s="397">
        <f>IFERROR(Tabelle2[[#This Row],[€]]/Tabelle2[[#This Row],[Backer]],"")</f>
        <v>149.1875</v>
      </c>
      <c r="K33" s="324"/>
      <c r="L33" s="324"/>
      <c r="M33" s="324"/>
      <c r="N33" s="324"/>
      <c r="O33" s="324"/>
      <c r="P33" s="220"/>
      <c r="Q33" s="220"/>
      <c r="R33" s="325"/>
      <c r="S33" s="324"/>
      <c r="T33" s="326"/>
      <c r="U33" s="326"/>
      <c r="V33" s="326"/>
      <c r="W33" s="326"/>
      <c r="X33" s="326"/>
      <c r="Y33" s="326"/>
      <c r="Z33" s="326"/>
      <c r="AA33" s="326"/>
      <c r="AB33" s="148"/>
      <c r="AC33" s="148"/>
      <c r="AD33" s="148"/>
      <c r="AE33" s="327"/>
      <c r="AF33" s="148"/>
      <c r="AG33" s="148"/>
      <c r="AH33" s="375"/>
      <c r="AI33" s="148"/>
      <c r="AJ33" s="375"/>
      <c r="AK33" s="148"/>
      <c r="AL33" s="148"/>
      <c r="AM33" s="148"/>
      <c r="AN33" s="148"/>
      <c r="AO33" s="148"/>
      <c r="AP33" s="148"/>
      <c r="AQ33" s="148"/>
      <c r="AR33" s="148"/>
      <c r="AS33" s="106"/>
      <c r="AT33" s="326"/>
      <c r="AU33" s="326"/>
      <c r="AV33" s="326"/>
      <c r="AW33" s="105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326"/>
      <c r="BZ33" s="328"/>
      <c r="CA33" s="328"/>
      <c r="CB33" s="326"/>
      <c r="CC33" s="326"/>
      <c r="CD33" s="328"/>
      <c r="CE33" s="328"/>
      <c r="CF33" s="326"/>
      <c r="CG33" s="326"/>
      <c r="CH33" s="328"/>
      <c r="CI33" s="328"/>
      <c r="CJ33" s="326"/>
      <c r="CK33" s="326"/>
      <c r="CL33" s="326"/>
      <c r="CM33" s="328"/>
      <c r="CN33" s="328"/>
      <c r="CO33" s="160"/>
      <c r="CP33" s="326"/>
      <c r="CQ33" s="322"/>
      <c r="CR33" s="322"/>
      <c r="CS33" s="322"/>
      <c r="CT33" s="322"/>
      <c r="CU33" s="322"/>
      <c r="CV33" s="322"/>
      <c r="CW33" s="322"/>
      <c r="CX33" s="322"/>
      <c r="CY33" s="322"/>
      <c r="CZ33" s="322"/>
      <c r="DA33" s="322"/>
      <c r="DB33" s="322"/>
      <c r="DC33" s="322"/>
      <c r="DD33" s="322"/>
      <c r="DE33" s="322"/>
      <c r="DF33" s="322"/>
      <c r="DG33" s="322"/>
      <c r="DH33" s="322"/>
      <c r="DI33" s="322"/>
    </row>
    <row r="34" spans="1:113" s="329" customFormat="1" ht="18" hidden="1" outlineLevel="1" x14ac:dyDescent="0.3">
      <c r="A34" s="322"/>
      <c r="B34" s="89">
        <v>18</v>
      </c>
      <c r="C34" s="404" t="s">
        <v>242</v>
      </c>
      <c r="D34" s="405">
        <f t="shared" si="3"/>
        <v>100000</v>
      </c>
      <c r="E34" s="406" t="s">
        <v>261</v>
      </c>
      <c r="F34" s="148" t="s">
        <v>108</v>
      </c>
      <c r="G34" s="395">
        <v>13</v>
      </c>
      <c r="H34" s="396">
        <f t="shared" si="1"/>
        <v>2194</v>
      </c>
      <c r="I34" s="396">
        <f t="shared" si="2"/>
        <v>14</v>
      </c>
      <c r="J34" s="397">
        <f>IFERROR(Tabelle2[[#This Row],[€]]/Tabelle2[[#This Row],[Backer]],"")</f>
        <v>156.71428571428572</v>
      </c>
      <c r="K34" s="324"/>
      <c r="L34" s="324"/>
      <c r="M34" s="324"/>
      <c r="N34" s="324"/>
      <c r="O34" s="324"/>
      <c r="P34" s="220"/>
      <c r="Q34" s="220"/>
      <c r="R34" s="325"/>
      <c r="S34" s="324"/>
      <c r="T34" s="326"/>
      <c r="U34" s="326"/>
      <c r="V34" s="326"/>
      <c r="W34" s="326"/>
      <c r="X34" s="326"/>
      <c r="Y34" s="326"/>
      <c r="Z34" s="326"/>
      <c r="AA34" s="326"/>
      <c r="AB34" s="148"/>
      <c r="AC34" s="148"/>
      <c r="AD34" s="148"/>
      <c r="AE34" s="327"/>
      <c r="AF34" s="148"/>
      <c r="AG34" s="148"/>
      <c r="AH34" s="375"/>
      <c r="AI34" s="148"/>
      <c r="AJ34" s="375"/>
      <c r="AK34" s="148"/>
      <c r="AL34" s="148"/>
      <c r="AM34" s="148"/>
      <c r="AN34" s="148"/>
      <c r="AO34" s="148"/>
      <c r="AP34" s="148"/>
      <c r="AQ34" s="148"/>
      <c r="AR34" s="148"/>
      <c r="AS34" s="106"/>
      <c r="AT34" s="326"/>
      <c r="AU34" s="326"/>
      <c r="AV34" s="326"/>
      <c r="AW34" s="105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326"/>
      <c r="BZ34" s="328"/>
      <c r="CA34" s="328"/>
      <c r="CB34" s="326"/>
      <c r="CC34" s="326"/>
      <c r="CD34" s="328"/>
      <c r="CE34" s="328"/>
      <c r="CF34" s="326"/>
      <c r="CG34" s="326"/>
      <c r="CH34" s="328"/>
      <c r="CI34" s="328"/>
      <c r="CJ34" s="326"/>
      <c r="CK34" s="326"/>
      <c r="CL34" s="326"/>
      <c r="CM34" s="328"/>
      <c r="CN34" s="328"/>
      <c r="CO34" s="160"/>
      <c r="CP34" s="326"/>
      <c r="CQ34" s="322"/>
      <c r="CR34" s="322"/>
      <c r="CS34" s="322"/>
      <c r="CT34" s="322"/>
      <c r="CU34" s="322"/>
      <c r="CV34" s="322"/>
      <c r="CW34" s="322"/>
      <c r="CX34" s="322"/>
      <c r="CY34" s="322"/>
      <c r="CZ34" s="322"/>
      <c r="DA34" s="322"/>
      <c r="DB34" s="322"/>
      <c r="DC34" s="322"/>
      <c r="DD34" s="322"/>
      <c r="DE34" s="322"/>
      <c r="DF34" s="322"/>
      <c r="DG34" s="322"/>
      <c r="DH34" s="322"/>
      <c r="DI34" s="322"/>
    </row>
    <row r="35" spans="1:113" s="329" customFormat="1" ht="18" hidden="1" outlineLevel="1" x14ac:dyDescent="0.3">
      <c r="A35" s="322"/>
      <c r="B35" s="89">
        <v>19</v>
      </c>
      <c r="C35" s="404" t="s">
        <v>241</v>
      </c>
      <c r="D35" s="405">
        <f t="shared" si="3"/>
        <v>105000</v>
      </c>
      <c r="E35" s="406" t="s">
        <v>262</v>
      </c>
      <c r="F35" s="148" t="s">
        <v>111</v>
      </c>
      <c r="G35" s="395">
        <v>10</v>
      </c>
      <c r="H35" s="396">
        <f t="shared" si="1"/>
        <v>2144</v>
      </c>
      <c r="I35" s="396">
        <f t="shared" si="2"/>
        <v>12</v>
      </c>
      <c r="J35" s="397">
        <f>IFERROR(Tabelle2[[#This Row],[€]]/Tabelle2[[#This Row],[Backer]],"")</f>
        <v>178.66666666666666</v>
      </c>
      <c r="K35" s="324"/>
      <c r="L35" s="324"/>
      <c r="M35" s="324"/>
      <c r="N35" s="324"/>
      <c r="O35" s="324"/>
      <c r="P35" s="220"/>
      <c r="Q35" s="220"/>
      <c r="R35" s="325"/>
      <c r="S35" s="324"/>
      <c r="T35" s="326"/>
      <c r="U35" s="326"/>
      <c r="V35" s="326"/>
      <c r="W35" s="326"/>
      <c r="X35" s="326"/>
      <c r="Y35" s="326"/>
      <c r="Z35" s="326"/>
      <c r="AA35" s="326"/>
      <c r="AB35" s="148"/>
      <c r="AC35" s="148"/>
      <c r="AD35" s="148"/>
      <c r="AE35" s="327"/>
      <c r="AF35" s="148"/>
      <c r="AG35" s="148"/>
      <c r="AH35" s="375"/>
      <c r="AI35" s="148"/>
      <c r="AJ35" s="375"/>
      <c r="AK35" s="148"/>
      <c r="AL35" s="148"/>
      <c r="AM35" s="148"/>
      <c r="AN35" s="148"/>
      <c r="AO35" s="148"/>
      <c r="AP35" s="148"/>
      <c r="AQ35" s="148"/>
      <c r="AR35" s="148"/>
      <c r="AS35" s="106"/>
      <c r="AT35" s="326"/>
      <c r="AU35" s="326"/>
      <c r="AV35" s="326"/>
      <c r="AW35" s="105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326"/>
      <c r="BZ35" s="328"/>
      <c r="CA35" s="328"/>
      <c r="CB35" s="326"/>
      <c r="CC35" s="326"/>
      <c r="CD35" s="328"/>
      <c r="CE35" s="328"/>
      <c r="CF35" s="326"/>
      <c r="CG35" s="326"/>
      <c r="CH35" s="328"/>
      <c r="CI35" s="328"/>
      <c r="CJ35" s="326"/>
      <c r="CK35" s="326"/>
      <c r="CL35" s="326"/>
      <c r="CM35" s="328"/>
      <c r="CN35" s="328"/>
      <c r="CO35" s="160"/>
      <c r="CP35" s="326"/>
      <c r="CQ35" s="322"/>
      <c r="CR35" s="322"/>
      <c r="CS35" s="322"/>
      <c r="CT35" s="322"/>
      <c r="CU35" s="322"/>
      <c r="CV35" s="322"/>
      <c r="CW35" s="322"/>
      <c r="CX35" s="322"/>
      <c r="CY35" s="322"/>
      <c r="CZ35" s="322"/>
      <c r="DA35" s="322"/>
      <c r="DB35" s="322"/>
      <c r="DC35" s="322"/>
      <c r="DD35" s="322"/>
      <c r="DE35" s="322"/>
      <c r="DF35" s="322"/>
      <c r="DG35" s="322"/>
      <c r="DH35" s="322"/>
      <c r="DI35" s="322"/>
    </row>
    <row r="36" spans="1:113" s="329" customFormat="1" ht="18" hidden="1" outlineLevel="1" x14ac:dyDescent="0.3">
      <c r="A36" s="322"/>
      <c r="B36" s="147">
        <v>20</v>
      </c>
      <c r="C36" s="323"/>
      <c r="D36" s="275">
        <f t="shared" si="3"/>
        <v>110000</v>
      </c>
      <c r="E36" s="39"/>
      <c r="F36" s="148" t="s">
        <v>109</v>
      </c>
      <c r="G36" s="395">
        <v>6</v>
      </c>
      <c r="H36" s="396">
        <f t="shared" si="1"/>
        <v>1200</v>
      </c>
      <c r="I36" s="396">
        <f t="shared" si="2"/>
        <v>6</v>
      </c>
      <c r="J36" s="397">
        <f>IFERROR(Tabelle2[[#This Row],[€]]/Tabelle2[[#This Row],[Backer]],"")</f>
        <v>200</v>
      </c>
      <c r="K36" s="324"/>
      <c r="L36" s="324"/>
      <c r="M36" s="324"/>
      <c r="N36" s="324"/>
      <c r="O36" s="324"/>
      <c r="P36" s="204"/>
      <c r="Q36" s="204"/>
      <c r="R36" s="325"/>
      <c r="S36" s="324"/>
      <c r="T36" s="326"/>
      <c r="U36" s="326"/>
      <c r="V36" s="326"/>
      <c r="W36" s="326"/>
      <c r="X36" s="326"/>
      <c r="Y36" s="326"/>
      <c r="Z36" s="326"/>
      <c r="AA36" s="326"/>
      <c r="AB36" s="148"/>
      <c r="AC36" s="148"/>
      <c r="AD36" s="148"/>
      <c r="AE36" s="327"/>
      <c r="AF36" s="148"/>
      <c r="AG36" s="148"/>
      <c r="AH36" s="375"/>
      <c r="AI36" s="148"/>
      <c r="AJ36" s="375"/>
      <c r="AK36" s="148"/>
      <c r="AL36" s="148"/>
      <c r="AM36" s="148"/>
      <c r="AN36" s="148"/>
      <c r="AO36" s="148"/>
      <c r="AP36" s="148"/>
      <c r="AQ36" s="148"/>
      <c r="AR36" s="148"/>
      <c r="AS36" s="106"/>
      <c r="AT36" s="326"/>
      <c r="AU36" s="326"/>
      <c r="AV36" s="326"/>
      <c r="AW36" s="105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326"/>
      <c r="BZ36" s="328"/>
      <c r="CA36" s="328"/>
      <c r="CB36" s="326"/>
      <c r="CC36" s="326"/>
      <c r="CD36" s="328"/>
      <c r="CE36" s="328"/>
      <c r="CF36" s="326"/>
      <c r="CG36" s="326"/>
      <c r="CH36" s="328"/>
      <c r="CI36" s="328"/>
      <c r="CJ36" s="326"/>
      <c r="CK36" s="326"/>
      <c r="CL36" s="326"/>
      <c r="CM36" s="328"/>
      <c r="CN36" s="328"/>
      <c r="CO36" s="160"/>
      <c r="CP36" s="326"/>
      <c r="CQ36" s="322"/>
      <c r="CR36" s="322"/>
      <c r="CS36" s="322"/>
      <c r="CT36" s="322"/>
      <c r="CU36" s="322"/>
      <c r="CV36" s="322"/>
      <c r="CW36" s="322"/>
      <c r="CX36" s="322"/>
      <c r="CY36" s="322"/>
      <c r="CZ36" s="322"/>
      <c r="DA36" s="322"/>
      <c r="DB36" s="322"/>
      <c r="DC36" s="322"/>
      <c r="DD36" s="322"/>
      <c r="DE36" s="322"/>
      <c r="DF36" s="322"/>
      <c r="DG36" s="322"/>
      <c r="DH36" s="322"/>
      <c r="DI36" s="322"/>
    </row>
    <row r="37" spans="1:113" s="329" customFormat="1" ht="18" hidden="1" outlineLevel="1" x14ac:dyDescent="0.3">
      <c r="A37" s="322"/>
      <c r="B37" s="147">
        <v>21</v>
      </c>
      <c r="C37" s="323"/>
      <c r="D37" s="275">
        <f t="shared" si="3"/>
        <v>115000</v>
      </c>
      <c r="E37" s="39"/>
      <c r="F37" s="148" t="s">
        <v>110</v>
      </c>
      <c r="G37" s="395">
        <v>11</v>
      </c>
      <c r="H37" s="396">
        <f t="shared" si="1"/>
        <v>1099</v>
      </c>
      <c r="I37" s="396">
        <f t="shared" si="2"/>
        <v>9</v>
      </c>
      <c r="J37" s="397">
        <f>IFERROR(Tabelle2[[#This Row],[€]]/Tabelle2[[#This Row],[Backer]],"")</f>
        <v>122.11111111111111</v>
      </c>
      <c r="K37" s="324"/>
      <c r="L37" s="324"/>
      <c r="M37" s="324"/>
      <c r="N37" s="324"/>
      <c r="O37" s="324"/>
      <c r="P37" s="204"/>
      <c r="Q37" s="204"/>
      <c r="R37" s="325"/>
      <c r="S37" s="324"/>
      <c r="T37" s="326"/>
      <c r="U37" s="326"/>
      <c r="V37" s="326"/>
      <c r="W37" s="326"/>
      <c r="X37" s="326"/>
      <c r="Y37" s="326"/>
      <c r="Z37" s="326"/>
      <c r="AA37" s="326"/>
      <c r="AB37" s="148"/>
      <c r="AC37" s="148"/>
      <c r="AD37" s="148"/>
      <c r="AE37" s="327"/>
      <c r="AF37" s="148"/>
      <c r="AG37" s="148"/>
      <c r="AH37" s="375"/>
      <c r="AI37" s="148"/>
      <c r="AJ37" s="375"/>
      <c r="AK37" s="148"/>
      <c r="AL37" s="148"/>
      <c r="AM37" s="148"/>
      <c r="AN37" s="148"/>
      <c r="AO37" s="148"/>
      <c r="AP37" s="148"/>
      <c r="AQ37" s="148"/>
      <c r="AR37" s="148"/>
      <c r="AS37" s="106"/>
      <c r="AT37" s="326"/>
      <c r="AU37" s="326"/>
      <c r="AV37" s="326"/>
      <c r="AW37" s="105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326"/>
      <c r="BZ37" s="328"/>
      <c r="CA37" s="328"/>
      <c r="CB37" s="326"/>
      <c r="CC37" s="326"/>
      <c r="CD37" s="328"/>
      <c r="CE37" s="328"/>
      <c r="CF37" s="326"/>
      <c r="CG37" s="326"/>
      <c r="CH37" s="328"/>
      <c r="CI37" s="328"/>
      <c r="CJ37" s="326"/>
      <c r="CK37" s="326"/>
      <c r="CL37" s="326"/>
      <c r="CM37" s="328"/>
      <c r="CN37" s="328"/>
      <c r="CO37" s="160"/>
      <c r="CP37" s="326"/>
      <c r="CQ37" s="322"/>
      <c r="CR37" s="322"/>
      <c r="CS37" s="322"/>
      <c r="CT37" s="322"/>
      <c r="CU37" s="322"/>
      <c r="CV37" s="322"/>
      <c r="CW37" s="322"/>
      <c r="CX37" s="322"/>
      <c r="CY37" s="322"/>
      <c r="CZ37" s="322"/>
      <c r="DA37" s="322"/>
      <c r="DB37" s="322"/>
      <c r="DC37" s="322"/>
      <c r="DD37" s="322"/>
      <c r="DE37" s="322"/>
      <c r="DF37" s="322"/>
      <c r="DG37" s="322"/>
      <c r="DH37" s="322"/>
      <c r="DI37" s="322"/>
    </row>
    <row r="38" spans="1:113" s="329" customFormat="1" ht="18" hidden="1" outlineLevel="1" x14ac:dyDescent="0.3">
      <c r="A38" s="322"/>
      <c r="B38" s="147">
        <v>22</v>
      </c>
      <c r="C38" s="323"/>
      <c r="D38" s="275">
        <f t="shared" ref="D38" si="4">D37+10000</f>
        <v>125000</v>
      </c>
      <c r="E38" s="39"/>
      <c r="F38" s="324"/>
      <c r="G38" s="324"/>
      <c r="H38" s="324"/>
      <c r="I38" s="324"/>
      <c r="J38" s="324"/>
      <c r="K38" s="324"/>
      <c r="L38" s="324"/>
      <c r="M38" s="324"/>
      <c r="N38" s="324"/>
      <c r="O38" s="324"/>
      <c r="P38" s="204"/>
      <c r="Q38" s="204"/>
      <c r="R38" s="325"/>
      <c r="S38" s="324"/>
      <c r="T38" s="326"/>
      <c r="U38" s="326"/>
      <c r="V38" s="326"/>
      <c r="W38" s="326"/>
      <c r="X38" s="326"/>
      <c r="Y38" s="326"/>
      <c r="Z38" s="326"/>
      <c r="AA38" s="326"/>
      <c r="AB38" s="148"/>
      <c r="AC38" s="148"/>
      <c r="AD38" s="148"/>
      <c r="AE38" s="327"/>
      <c r="AF38" s="148"/>
      <c r="AG38" s="148"/>
      <c r="AH38" s="375"/>
      <c r="AI38" s="148"/>
      <c r="AJ38" s="375"/>
      <c r="AK38" s="148"/>
      <c r="AL38" s="148"/>
      <c r="AM38" s="148"/>
      <c r="AN38" s="148"/>
      <c r="AO38" s="148"/>
      <c r="AP38" s="148"/>
      <c r="AQ38" s="148"/>
      <c r="AR38" s="148"/>
      <c r="AS38" s="106"/>
      <c r="AT38" s="148"/>
      <c r="AU38" s="326"/>
      <c r="AV38" s="326"/>
      <c r="AW38" s="105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326"/>
      <c r="BZ38" s="328"/>
      <c r="CA38" s="328"/>
      <c r="CB38" s="326"/>
      <c r="CC38" s="326"/>
      <c r="CD38" s="328"/>
      <c r="CE38" s="328"/>
      <c r="CF38" s="326"/>
      <c r="CG38" s="326"/>
      <c r="CH38" s="328"/>
      <c r="CI38" s="328"/>
      <c r="CJ38" s="326"/>
      <c r="CK38" s="326"/>
      <c r="CL38" s="326"/>
      <c r="CM38" s="328"/>
      <c r="CN38" s="328"/>
      <c r="CO38" s="160"/>
      <c r="CP38" s="326"/>
      <c r="CQ38" s="322"/>
      <c r="CR38" s="322"/>
      <c r="CS38" s="322"/>
      <c r="CT38" s="322"/>
      <c r="CU38" s="322"/>
      <c r="CV38" s="322"/>
      <c r="CW38" s="322"/>
      <c r="CX38" s="322"/>
      <c r="CY38" s="322"/>
      <c r="CZ38" s="322"/>
      <c r="DA38" s="322"/>
      <c r="DB38" s="322"/>
      <c r="DC38" s="322"/>
      <c r="DD38" s="322"/>
      <c r="DE38" s="322"/>
      <c r="DF38" s="322"/>
      <c r="DG38" s="322"/>
      <c r="DH38" s="322"/>
      <c r="DI38" s="322"/>
    </row>
    <row r="39" spans="1:113" s="100" customFormat="1" ht="18" collapsed="1" x14ac:dyDescent="0.25">
      <c r="A39" s="213"/>
      <c r="B39" s="198"/>
      <c r="C39" s="94" t="s">
        <v>330</v>
      </c>
      <c r="D39" s="95" t="s">
        <v>250</v>
      </c>
      <c r="E39" s="296" t="s">
        <v>188</v>
      </c>
      <c r="F39" s="296" t="s">
        <v>183</v>
      </c>
      <c r="G39" s="197" t="s">
        <v>4</v>
      </c>
      <c r="H39" s="296" t="s">
        <v>183</v>
      </c>
      <c r="I39" s="197" t="s">
        <v>4</v>
      </c>
      <c r="J39" s="296" t="s">
        <v>183</v>
      </c>
      <c r="K39" s="197" t="s">
        <v>4</v>
      </c>
      <c r="L39" s="197" t="s">
        <v>4</v>
      </c>
      <c r="M39" s="96">
        <v>45</v>
      </c>
      <c r="N39" s="97">
        <v>44.95</v>
      </c>
      <c r="O39" s="98"/>
      <c r="P39" s="204"/>
      <c r="Q39" s="204"/>
      <c r="R39" s="186" t="s">
        <v>4</v>
      </c>
      <c r="S39" s="70"/>
      <c r="T39" s="70"/>
      <c r="U39" s="70"/>
      <c r="V39" s="70"/>
      <c r="W39" s="70"/>
      <c r="X39" s="90"/>
      <c r="Y39" s="90"/>
      <c r="Z39" s="90"/>
      <c r="AA39" s="90"/>
      <c r="AB39" s="66"/>
      <c r="AC39" s="66"/>
      <c r="AD39" s="66"/>
      <c r="AE39" s="66"/>
      <c r="AF39" s="66"/>
      <c r="AG39" s="66"/>
      <c r="AH39" s="374"/>
      <c r="AI39" s="66"/>
      <c r="AJ39" s="374"/>
      <c r="AK39" s="66"/>
      <c r="AL39" s="66"/>
      <c r="AM39" s="66"/>
      <c r="AN39" s="66"/>
      <c r="AO39" s="66"/>
      <c r="AP39" s="66"/>
      <c r="AQ39" s="66"/>
      <c r="AR39" s="66"/>
      <c r="AS39" s="106"/>
      <c r="AT39" s="66"/>
      <c r="AU39" s="90"/>
      <c r="AV39" s="90"/>
      <c r="AW39" s="108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9"/>
      <c r="CP39" s="90"/>
      <c r="CQ39" s="213"/>
      <c r="CR39" s="213"/>
      <c r="CS39" s="213"/>
      <c r="CT39" s="213"/>
      <c r="CU39" s="213"/>
      <c r="CV39" s="213"/>
      <c r="CW39" s="213"/>
      <c r="CX39" s="213"/>
      <c r="CY39" s="213"/>
      <c r="CZ39" s="213"/>
      <c r="DA39" s="213"/>
      <c r="DB39" s="213"/>
      <c r="DC39" s="213"/>
      <c r="DD39" s="213"/>
      <c r="DE39" s="213"/>
      <c r="DF39" s="213"/>
      <c r="DG39" s="213"/>
      <c r="DH39" s="213"/>
      <c r="DI39" s="213"/>
    </row>
    <row r="40" spans="1:113" s="100" customFormat="1" ht="18" collapsed="1" x14ac:dyDescent="0.25">
      <c r="A40" s="213"/>
      <c r="B40" s="198"/>
      <c r="C40" s="94" t="s">
        <v>331</v>
      </c>
      <c r="D40" s="95" t="s">
        <v>250</v>
      </c>
      <c r="E40" s="296" t="s">
        <v>188</v>
      </c>
      <c r="F40" s="296" t="s">
        <v>183</v>
      </c>
      <c r="G40" s="296" t="s">
        <v>183</v>
      </c>
      <c r="H40" s="296" t="s">
        <v>183</v>
      </c>
      <c r="I40" s="296" t="s">
        <v>183</v>
      </c>
      <c r="J40" s="197" t="s">
        <v>4</v>
      </c>
      <c r="K40" s="197" t="s">
        <v>4</v>
      </c>
      <c r="L40" s="197" t="s">
        <v>4</v>
      </c>
      <c r="M40" s="96">
        <v>75</v>
      </c>
      <c r="N40" s="97">
        <v>74.95</v>
      </c>
      <c r="O40" s="98"/>
      <c r="P40" s="204"/>
      <c r="Q40" s="204"/>
      <c r="R40" s="186" t="s">
        <v>4</v>
      </c>
      <c r="S40" s="70"/>
      <c r="T40" s="70"/>
      <c r="U40" s="70"/>
      <c r="V40" s="70"/>
      <c r="W40" s="70"/>
      <c r="X40" s="90"/>
      <c r="Y40" s="90"/>
      <c r="Z40" s="90"/>
      <c r="AA40" s="90"/>
      <c r="AB40" s="66"/>
      <c r="AC40" s="66"/>
      <c r="AD40" s="66"/>
      <c r="AE40" s="66"/>
      <c r="AF40" s="66"/>
      <c r="AG40" s="66"/>
      <c r="AH40" s="374"/>
      <c r="AI40" s="66"/>
      <c r="AJ40" s="374"/>
      <c r="AK40" s="66"/>
      <c r="AL40" s="66"/>
      <c r="AM40" s="66"/>
      <c r="AN40" s="66"/>
      <c r="AO40" s="66"/>
      <c r="AP40" s="66"/>
      <c r="AQ40" s="66"/>
      <c r="AR40" s="66"/>
      <c r="AS40" s="106"/>
      <c r="AT40" s="66"/>
      <c r="AU40" s="90"/>
      <c r="AV40" s="90"/>
      <c r="AW40" s="108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9"/>
      <c r="CP40" s="90"/>
      <c r="CQ40" s="213"/>
      <c r="CR40" s="213"/>
      <c r="CS40" s="213"/>
      <c r="CT40" s="213"/>
      <c r="CU40" s="213"/>
      <c r="CV40" s="213"/>
      <c r="CW40" s="213"/>
      <c r="CX40" s="213"/>
      <c r="CY40" s="213"/>
      <c r="CZ40" s="213"/>
      <c r="DA40" s="213"/>
      <c r="DB40" s="213"/>
      <c r="DC40" s="213"/>
      <c r="DD40" s="213"/>
      <c r="DE40" s="213"/>
      <c r="DF40" s="213"/>
      <c r="DG40" s="213"/>
      <c r="DH40" s="213"/>
      <c r="DI40" s="213"/>
    </row>
    <row r="41" spans="1:113" ht="18" x14ac:dyDescent="0.25">
      <c r="B41" s="198"/>
      <c r="C41" s="94" t="s">
        <v>251</v>
      </c>
      <c r="D41" s="95" t="s">
        <v>252</v>
      </c>
      <c r="E41" s="296" t="s">
        <v>188</v>
      </c>
      <c r="F41" s="296" t="s">
        <v>183</v>
      </c>
      <c r="G41" s="296" t="s">
        <v>183</v>
      </c>
      <c r="H41" s="296" t="s">
        <v>183</v>
      </c>
      <c r="I41" s="197" t="s">
        <v>4</v>
      </c>
      <c r="J41" s="197" t="s">
        <v>4</v>
      </c>
      <c r="K41" s="197" t="s">
        <v>4</v>
      </c>
      <c r="L41" s="197" t="s">
        <v>4</v>
      </c>
      <c r="M41" s="96">
        <v>18</v>
      </c>
      <c r="N41" s="101">
        <v>17.95</v>
      </c>
      <c r="O41" s="102"/>
      <c r="P41" s="204"/>
      <c r="Q41" s="204"/>
      <c r="R41" s="186" t="s">
        <v>4</v>
      </c>
      <c r="S41" s="70"/>
      <c r="T41" s="70"/>
      <c r="U41" s="70"/>
      <c r="V41" s="70"/>
      <c r="W41" s="70"/>
      <c r="AB41" s="66"/>
      <c r="AC41" s="66"/>
      <c r="AD41" s="66"/>
      <c r="AE41" s="66"/>
      <c r="AG41" s="66"/>
      <c r="AH41" s="374"/>
      <c r="AI41" s="66"/>
      <c r="AJ41" s="374"/>
      <c r="AK41" s="66"/>
      <c r="AL41" s="66"/>
      <c r="AM41" s="66"/>
      <c r="AN41" s="66"/>
      <c r="AO41" s="66"/>
      <c r="AP41" s="66"/>
      <c r="AQ41" s="66"/>
      <c r="AR41" s="66"/>
      <c r="AS41" s="106"/>
      <c r="AU41" s="90"/>
      <c r="BZ41" s="43"/>
      <c r="CA41" s="43"/>
      <c r="CD41" s="43"/>
      <c r="CE41" s="43"/>
      <c r="CH41" s="43"/>
      <c r="CI41" s="43"/>
      <c r="CM41" s="43"/>
      <c r="CN41" s="43"/>
    </row>
    <row r="42" spans="1:113" ht="18" x14ac:dyDescent="0.25">
      <c r="B42" s="198"/>
      <c r="C42" s="94" t="s">
        <v>332</v>
      </c>
      <c r="D42" s="95" t="s">
        <v>252</v>
      </c>
      <c r="E42" s="296" t="s">
        <v>188</v>
      </c>
      <c r="F42" s="296" t="s">
        <v>183</v>
      </c>
      <c r="G42" s="296" t="s">
        <v>183</v>
      </c>
      <c r="H42" s="296" t="s">
        <v>183</v>
      </c>
      <c r="I42" s="197" t="s">
        <v>4</v>
      </c>
      <c r="J42" s="197" t="s">
        <v>4</v>
      </c>
      <c r="K42" s="197" t="s">
        <v>4</v>
      </c>
      <c r="L42" s="197" t="s">
        <v>4</v>
      </c>
      <c r="M42" s="96">
        <v>18</v>
      </c>
      <c r="N42" s="101">
        <v>17.95</v>
      </c>
      <c r="O42" s="102"/>
      <c r="P42" s="204"/>
      <c r="Q42" s="204"/>
      <c r="R42" s="186" t="s">
        <v>4</v>
      </c>
      <c r="S42" s="70"/>
      <c r="T42" s="70"/>
      <c r="U42" s="70"/>
      <c r="V42" s="70"/>
      <c r="W42" s="70"/>
      <c r="AB42" s="66"/>
      <c r="AC42" s="66"/>
      <c r="AD42" s="66"/>
      <c r="AE42" s="66"/>
      <c r="AG42" s="66"/>
      <c r="AH42" s="374"/>
      <c r="AI42" s="66"/>
      <c r="AJ42" s="374"/>
      <c r="AK42" s="66"/>
      <c r="AL42" s="66"/>
      <c r="AM42" s="66"/>
      <c r="AN42" s="66"/>
      <c r="AO42" s="66"/>
      <c r="AP42" s="66"/>
      <c r="AQ42" s="66"/>
      <c r="AR42" s="66"/>
      <c r="AS42" s="106"/>
      <c r="AU42" s="90"/>
      <c r="BZ42" s="43"/>
      <c r="CA42" s="43"/>
      <c r="CD42" s="43"/>
      <c r="CE42" s="43"/>
      <c r="CH42" s="43"/>
      <c r="CI42" s="43"/>
      <c r="CM42" s="43"/>
      <c r="CN42" s="43"/>
    </row>
    <row r="43" spans="1:113" ht="18" x14ac:dyDescent="0.25">
      <c r="B43" s="198"/>
      <c r="C43" s="94" t="s">
        <v>333</v>
      </c>
      <c r="D43" s="95" t="s">
        <v>252</v>
      </c>
      <c r="E43" s="296" t="s">
        <v>188</v>
      </c>
      <c r="F43" s="296" t="s">
        <v>183</v>
      </c>
      <c r="G43" s="296" t="s">
        <v>183</v>
      </c>
      <c r="H43" s="296" t="s">
        <v>183</v>
      </c>
      <c r="I43" s="197" t="s">
        <v>4</v>
      </c>
      <c r="J43" s="197" t="s">
        <v>4</v>
      </c>
      <c r="K43" s="197" t="s">
        <v>4</v>
      </c>
      <c r="L43" s="197" t="s">
        <v>4</v>
      </c>
      <c r="M43" s="96">
        <v>18</v>
      </c>
      <c r="N43" s="101">
        <v>17.95</v>
      </c>
      <c r="O43" s="102"/>
      <c r="P43" s="204"/>
      <c r="Q43" s="204"/>
      <c r="R43" s="186" t="s">
        <v>4</v>
      </c>
      <c r="S43" s="70"/>
      <c r="T43" s="70"/>
      <c r="U43" s="70"/>
      <c r="V43" s="70"/>
      <c r="W43" s="70"/>
      <c r="AB43" s="66"/>
      <c r="AC43" s="66"/>
      <c r="AD43" s="66"/>
      <c r="AE43" s="66"/>
      <c r="AG43" s="66"/>
      <c r="AH43" s="374"/>
      <c r="AI43" s="66"/>
      <c r="AJ43" s="374"/>
      <c r="AK43" s="66"/>
      <c r="AL43" s="66"/>
      <c r="AM43" s="66"/>
      <c r="AN43" s="66"/>
      <c r="AO43" s="66"/>
      <c r="AP43" s="66"/>
      <c r="AQ43" s="66"/>
      <c r="AR43" s="66"/>
      <c r="AS43" s="106"/>
      <c r="AU43" s="90"/>
      <c r="BZ43" s="43"/>
      <c r="CA43" s="43"/>
      <c r="CD43" s="43"/>
      <c r="CE43" s="43"/>
      <c r="CH43" s="43"/>
      <c r="CI43" s="43"/>
      <c r="CM43" s="43"/>
      <c r="CN43" s="43"/>
    </row>
    <row r="44" spans="1:113" s="100" customFormat="1" ht="18" x14ac:dyDescent="0.25">
      <c r="A44" s="213"/>
      <c r="B44" s="198"/>
      <c r="C44" s="94" t="s">
        <v>334</v>
      </c>
      <c r="D44" s="95" t="s">
        <v>254</v>
      </c>
      <c r="E44" s="296" t="s">
        <v>188</v>
      </c>
      <c r="F44" s="296" t="s">
        <v>183</v>
      </c>
      <c r="G44" s="296" t="s">
        <v>183</v>
      </c>
      <c r="H44" s="296" t="s">
        <v>183</v>
      </c>
      <c r="I44" s="197" t="s">
        <v>4</v>
      </c>
      <c r="J44" s="197" t="s">
        <v>4</v>
      </c>
      <c r="K44" s="197" t="s">
        <v>4</v>
      </c>
      <c r="L44" s="197" t="s">
        <v>4</v>
      </c>
      <c r="M44" s="96">
        <v>20</v>
      </c>
      <c r="N44" s="101">
        <v>19.95</v>
      </c>
      <c r="O44" s="98"/>
      <c r="P44" s="204"/>
      <c r="Q44" s="204"/>
      <c r="R44" s="186" t="s">
        <v>4</v>
      </c>
      <c r="S44" s="70"/>
      <c r="T44" s="70"/>
      <c r="U44" s="70"/>
      <c r="V44" s="70"/>
      <c r="W44" s="70"/>
      <c r="X44" s="92"/>
      <c r="Y44" s="90"/>
      <c r="Z44" s="90"/>
      <c r="AA44" s="70"/>
      <c r="AB44" s="66"/>
      <c r="AC44" s="103"/>
      <c r="AD44" s="66"/>
      <c r="AE44" s="66"/>
      <c r="AF44" s="66"/>
      <c r="AG44" s="66"/>
      <c r="AH44" s="374"/>
      <c r="AI44" s="66"/>
      <c r="AJ44" s="374"/>
      <c r="AK44" s="66"/>
      <c r="AL44" s="66"/>
      <c r="AM44" s="66"/>
      <c r="AN44" s="66"/>
      <c r="AO44" s="66"/>
      <c r="AP44" s="66"/>
      <c r="AQ44" s="66"/>
      <c r="AR44" s="66"/>
      <c r="AS44" s="106"/>
      <c r="AT44" s="66"/>
      <c r="AU44" s="90"/>
      <c r="AV44" s="90"/>
      <c r="AW44" s="108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9"/>
      <c r="CP44" s="90"/>
      <c r="CQ44" s="213"/>
      <c r="CR44" s="213"/>
      <c r="CS44" s="213"/>
      <c r="CT44" s="213"/>
      <c r="CU44" s="213"/>
      <c r="CV44" s="213"/>
      <c r="CW44" s="213"/>
      <c r="CX44" s="213"/>
      <c r="CY44" s="213"/>
      <c r="CZ44" s="213"/>
      <c r="DA44" s="213"/>
      <c r="DB44" s="213"/>
      <c r="DC44" s="213"/>
      <c r="DD44" s="213"/>
      <c r="DE44" s="213"/>
      <c r="DF44" s="213"/>
      <c r="DG44" s="213"/>
      <c r="DH44" s="213"/>
      <c r="DI44" s="213"/>
    </row>
    <row r="45" spans="1:113" ht="18" x14ac:dyDescent="0.25">
      <c r="B45" s="198"/>
      <c r="C45" s="94" t="s">
        <v>335</v>
      </c>
      <c r="D45" s="95" t="s">
        <v>255</v>
      </c>
      <c r="E45" s="296" t="s">
        <v>188</v>
      </c>
      <c r="F45" s="296" t="s">
        <v>183</v>
      </c>
      <c r="G45" s="296" t="s">
        <v>183</v>
      </c>
      <c r="H45" s="296" t="s">
        <v>183</v>
      </c>
      <c r="I45" s="197" t="s">
        <v>4</v>
      </c>
      <c r="J45" s="197" t="s">
        <v>4</v>
      </c>
      <c r="K45" s="197" t="s">
        <v>4</v>
      </c>
      <c r="L45" s="197" t="s">
        <v>4</v>
      </c>
      <c r="M45" s="96">
        <v>20</v>
      </c>
      <c r="N45" s="101">
        <v>19.95</v>
      </c>
      <c r="O45" s="102"/>
      <c r="P45" s="204"/>
      <c r="Q45" s="204"/>
      <c r="R45" s="186" t="s">
        <v>4</v>
      </c>
      <c r="S45" s="103"/>
      <c r="T45" s="70"/>
      <c r="U45" s="70"/>
      <c r="V45" s="70"/>
      <c r="W45" s="70"/>
      <c r="AA45" s="105"/>
      <c r="AB45" s="106"/>
      <c r="AC45" s="80"/>
      <c r="AD45" s="59"/>
      <c r="AE45" s="59"/>
      <c r="AF45" s="66"/>
      <c r="AG45" s="66"/>
      <c r="AH45" s="374"/>
      <c r="AI45" s="66"/>
      <c r="AJ45" s="374"/>
      <c r="AK45" s="66"/>
      <c r="AL45" s="66"/>
      <c r="AM45" s="66"/>
      <c r="AN45" s="66"/>
      <c r="AO45" s="66"/>
      <c r="AP45" s="66"/>
      <c r="AQ45" s="66"/>
      <c r="AR45" s="66"/>
      <c r="AS45" s="106"/>
      <c r="AT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Z45" s="43"/>
      <c r="CA45" s="43"/>
      <c r="CD45" s="43"/>
      <c r="CE45" s="43"/>
      <c r="CH45" s="43"/>
      <c r="CI45" s="43"/>
      <c r="CM45" s="43"/>
      <c r="CN45" s="43"/>
    </row>
    <row r="46" spans="1:113" s="100" customFormat="1" ht="18" x14ac:dyDescent="0.25">
      <c r="A46" s="213"/>
      <c r="B46" s="198"/>
      <c r="C46" s="94" t="s">
        <v>256</v>
      </c>
      <c r="D46" s="95" t="s">
        <v>258</v>
      </c>
      <c r="E46" s="296" t="s">
        <v>188</v>
      </c>
      <c r="F46" s="296" t="s">
        <v>183</v>
      </c>
      <c r="G46" s="296" t="s">
        <v>183</v>
      </c>
      <c r="H46" s="296" t="s">
        <v>183</v>
      </c>
      <c r="I46" s="296" t="s">
        <v>183</v>
      </c>
      <c r="J46" s="296" t="s">
        <v>183</v>
      </c>
      <c r="K46" s="197" t="s">
        <v>4</v>
      </c>
      <c r="L46" s="197" t="s">
        <v>4</v>
      </c>
      <c r="M46" s="96">
        <v>20</v>
      </c>
      <c r="N46" s="101">
        <v>19.95</v>
      </c>
      <c r="O46" s="102"/>
      <c r="P46" s="204"/>
      <c r="Q46" s="204"/>
      <c r="R46" s="186" t="s">
        <v>4</v>
      </c>
      <c r="S46" s="103"/>
      <c r="T46" s="70"/>
      <c r="U46" s="70"/>
      <c r="V46" s="70"/>
      <c r="W46" s="70"/>
      <c r="X46" s="90"/>
      <c r="Y46" s="90"/>
      <c r="Z46" s="90"/>
      <c r="AA46" s="70"/>
      <c r="AB46" s="66"/>
      <c r="AC46" s="80"/>
      <c r="AD46" s="66"/>
      <c r="AE46" s="66"/>
      <c r="AF46" s="66"/>
      <c r="AG46" s="66"/>
      <c r="AH46" s="374"/>
      <c r="AI46" s="66"/>
      <c r="AJ46" s="374"/>
      <c r="AK46" s="66"/>
      <c r="AL46" s="66"/>
      <c r="AM46" s="66"/>
      <c r="AN46" s="66"/>
      <c r="AO46" s="66"/>
      <c r="AP46" s="66"/>
      <c r="AQ46" s="66"/>
      <c r="AR46" s="66"/>
      <c r="AS46" s="106"/>
      <c r="AT46" s="66"/>
      <c r="AU46" s="90"/>
      <c r="AV46" s="90"/>
      <c r="AW46" s="108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9"/>
      <c r="CP46" s="90"/>
      <c r="CQ46" s="213"/>
      <c r="CR46" s="213"/>
      <c r="CS46" s="213"/>
      <c r="CT46" s="213"/>
      <c r="CU46" s="213"/>
      <c r="CV46" s="213"/>
      <c r="CW46" s="213"/>
      <c r="CX46" s="213"/>
      <c r="CY46" s="213"/>
      <c r="CZ46" s="213"/>
      <c r="DA46" s="213"/>
      <c r="DB46" s="213"/>
      <c r="DC46" s="213"/>
      <c r="DD46" s="213"/>
      <c r="DE46" s="213"/>
      <c r="DF46" s="213"/>
      <c r="DG46" s="213"/>
      <c r="DH46" s="213"/>
      <c r="DI46" s="213"/>
    </row>
    <row r="47" spans="1:113" ht="18" x14ac:dyDescent="0.25">
      <c r="B47" s="198"/>
      <c r="C47" s="94" t="s">
        <v>257</v>
      </c>
      <c r="D47" s="95" t="s">
        <v>258</v>
      </c>
      <c r="E47" s="296" t="s">
        <v>188</v>
      </c>
      <c r="F47" s="296" t="s">
        <v>183</v>
      </c>
      <c r="G47" s="296" t="s">
        <v>183</v>
      </c>
      <c r="H47" s="296" t="s">
        <v>183</v>
      </c>
      <c r="I47" s="296" t="s">
        <v>183</v>
      </c>
      <c r="J47" s="296" t="s">
        <v>183</v>
      </c>
      <c r="K47" s="197" t="s">
        <v>4</v>
      </c>
      <c r="L47" s="197" t="s">
        <v>4</v>
      </c>
      <c r="M47" s="96">
        <v>20</v>
      </c>
      <c r="N47" s="101">
        <v>19.95</v>
      </c>
      <c r="O47" s="102"/>
      <c r="P47" s="204"/>
      <c r="Q47" s="204"/>
      <c r="R47" s="186" t="s">
        <v>4</v>
      </c>
      <c r="S47" s="103"/>
      <c r="T47" s="70"/>
      <c r="U47" s="70"/>
      <c r="V47" s="70"/>
      <c r="W47" s="70"/>
      <c r="AA47" s="105"/>
      <c r="AB47" s="106"/>
      <c r="AC47" s="80"/>
      <c r="AD47" s="66"/>
      <c r="AE47" s="66"/>
      <c r="AF47" s="66"/>
      <c r="AG47" s="66"/>
      <c r="AH47" s="374"/>
      <c r="AI47" s="66"/>
      <c r="AJ47" s="374"/>
      <c r="AK47" s="66"/>
      <c r="AL47" s="66"/>
      <c r="AM47" s="66"/>
      <c r="AN47" s="66"/>
      <c r="AO47" s="66"/>
      <c r="AP47" s="66"/>
      <c r="AQ47" s="66"/>
      <c r="AR47" s="66"/>
      <c r="AS47" s="106"/>
      <c r="AT47" s="66"/>
      <c r="AU47" s="43"/>
      <c r="AV47" s="43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Z47" s="43"/>
      <c r="CA47" s="43"/>
      <c r="CD47" s="43"/>
      <c r="CE47" s="43"/>
      <c r="CH47" s="43"/>
      <c r="CI47" s="43"/>
      <c r="CM47" s="43"/>
      <c r="CN47" s="43"/>
    </row>
    <row r="48" spans="1:113" s="88" customFormat="1" ht="18" x14ac:dyDescent="0.25">
      <c r="A48" s="210"/>
      <c r="B48" s="198"/>
      <c r="C48" s="94" t="s">
        <v>259</v>
      </c>
      <c r="D48" s="95" t="s">
        <v>186</v>
      </c>
      <c r="E48" s="296" t="s">
        <v>188</v>
      </c>
      <c r="F48" s="296" t="s">
        <v>183</v>
      </c>
      <c r="G48" s="296" t="s">
        <v>183</v>
      </c>
      <c r="H48" s="296" t="s">
        <v>183</v>
      </c>
      <c r="I48" s="296" t="s">
        <v>183</v>
      </c>
      <c r="J48" s="296" t="s">
        <v>183</v>
      </c>
      <c r="K48" s="197" t="s">
        <v>4</v>
      </c>
      <c r="L48" s="197" t="s">
        <v>4</v>
      </c>
      <c r="M48" s="96">
        <v>35</v>
      </c>
      <c r="N48" s="101">
        <v>35</v>
      </c>
      <c r="O48" s="102"/>
      <c r="P48" s="204"/>
      <c r="Q48" s="204"/>
      <c r="R48" s="186" t="s">
        <v>4</v>
      </c>
      <c r="S48" s="70"/>
      <c r="T48" s="70"/>
      <c r="U48" s="70"/>
      <c r="V48" s="70"/>
      <c r="W48" s="70"/>
      <c r="X48" s="93"/>
      <c r="Y48" s="70"/>
      <c r="Z48" s="70"/>
      <c r="AA48" s="105"/>
      <c r="AB48" s="106"/>
      <c r="AC48" s="80"/>
      <c r="AD48" s="66"/>
      <c r="AE48" s="66"/>
      <c r="AF48" s="66"/>
      <c r="AG48" s="66"/>
      <c r="AH48" s="374"/>
      <c r="AI48" s="66"/>
      <c r="AJ48" s="374"/>
      <c r="AK48" s="66"/>
      <c r="AL48" s="66"/>
      <c r="AM48" s="66"/>
      <c r="AN48" s="66"/>
      <c r="AO48" s="66"/>
      <c r="AP48" s="66"/>
      <c r="AQ48" s="66"/>
      <c r="AR48" s="66"/>
      <c r="AS48" s="106"/>
      <c r="AT48" s="66"/>
      <c r="AU48" s="70"/>
      <c r="AV48" s="70"/>
      <c r="AW48" s="105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80"/>
      <c r="CP48" s="70"/>
      <c r="CQ48" s="210"/>
      <c r="CR48" s="210"/>
      <c r="CS48" s="210"/>
      <c r="CT48" s="210"/>
      <c r="CU48" s="210"/>
      <c r="CV48" s="210"/>
      <c r="CW48" s="210"/>
      <c r="CX48" s="210"/>
      <c r="CY48" s="210"/>
      <c r="CZ48" s="210"/>
      <c r="DA48" s="210"/>
      <c r="DB48" s="210"/>
      <c r="DC48" s="210"/>
      <c r="DD48" s="210"/>
      <c r="DE48" s="210"/>
      <c r="DF48" s="210"/>
      <c r="DG48" s="210"/>
      <c r="DH48" s="210"/>
      <c r="DI48" s="210"/>
    </row>
    <row r="49" spans="1:113" s="100" customFormat="1" ht="18" x14ac:dyDescent="0.3">
      <c r="A49" s="213"/>
      <c r="B49" s="198"/>
      <c r="C49" s="331" t="s">
        <v>377</v>
      </c>
      <c r="D49" s="95" t="s">
        <v>378</v>
      </c>
      <c r="E49" s="296" t="s">
        <v>188</v>
      </c>
      <c r="F49" s="296" t="s">
        <v>183</v>
      </c>
      <c r="G49" s="296" t="s">
        <v>183</v>
      </c>
      <c r="H49" s="296" t="s">
        <v>183</v>
      </c>
      <c r="I49" s="296" t="s">
        <v>183</v>
      </c>
      <c r="J49" s="296" t="s">
        <v>183</v>
      </c>
      <c r="K49" s="197" t="s">
        <v>4</v>
      </c>
      <c r="L49" s="197" t="s">
        <v>4</v>
      </c>
      <c r="M49" s="107">
        <v>15</v>
      </c>
      <c r="N49" s="111">
        <v>14.95</v>
      </c>
      <c r="O49" s="282"/>
      <c r="P49" s="204"/>
      <c r="Q49" s="204"/>
      <c r="R49" s="186" t="s">
        <v>4</v>
      </c>
      <c r="S49" s="70"/>
      <c r="T49" s="70"/>
      <c r="U49" s="70"/>
      <c r="V49" s="70"/>
      <c r="W49" s="70"/>
      <c r="X49" s="90"/>
      <c r="Y49" s="90"/>
      <c r="Z49" s="90"/>
      <c r="AA49" s="90"/>
      <c r="AB49" s="66"/>
      <c r="AC49" s="66"/>
      <c r="AD49" s="108"/>
      <c r="AE49" s="108"/>
      <c r="AF49" s="66"/>
      <c r="AG49" s="66"/>
      <c r="AH49" s="374"/>
      <c r="AI49" s="66"/>
      <c r="AJ49" s="374"/>
      <c r="AK49" s="66"/>
      <c r="AL49" s="66"/>
      <c r="AM49" s="66"/>
      <c r="AN49" s="66"/>
      <c r="AO49" s="66"/>
      <c r="AP49" s="44"/>
      <c r="AQ49" s="108"/>
      <c r="AR49" s="108"/>
      <c r="AS49" s="108"/>
      <c r="AT49" s="108"/>
      <c r="AU49" s="108"/>
      <c r="AV49" s="108"/>
      <c r="AW49" s="108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90"/>
      <c r="BZ49" s="109"/>
      <c r="CA49" s="109"/>
      <c r="CB49" s="90"/>
      <c r="CC49" s="90"/>
      <c r="CD49" s="109"/>
      <c r="CE49" s="109"/>
      <c r="CF49" s="90"/>
      <c r="CG49" s="90"/>
      <c r="CH49" s="109"/>
      <c r="CI49" s="109"/>
      <c r="CJ49" s="90"/>
      <c r="CK49" s="90"/>
      <c r="CL49" s="90"/>
      <c r="CM49" s="109"/>
      <c r="CN49" s="109"/>
      <c r="CO49" s="99"/>
      <c r="CP49" s="90"/>
      <c r="CQ49" s="213"/>
      <c r="CR49" s="213"/>
      <c r="CS49" s="213"/>
      <c r="CT49" s="213"/>
      <c r="CU49" s="213"/>
      <c r="CV49" s="213"/>
      <c r="CW49" s="213"/>
      <c r="CX49" s="213"/>
      <c r="CY49" s="213"/>
      <c r="CZ49" s="213"/>
      <c r="DA49" s="213"/>
      <c r="DB49" s="213"/>
      <c r="DC49" s="213"/>
      <c r="DD49" s="213"/>
      <c r="DE49" s="213"/>
      <c r="DF49" s="213"/>
      <c r="DG49" s="213"/>
      <c r="DH49" s="213"/>
      <c r="DI49" s="213"/>
    </row>
    <row r="50" spans="1:113" s="115" customFormat="1" ht="18" x14ac:dyDescent="0.3">
      <c r="A50" s="214"/>
      <c r="B50" s="199"/>
      <c r="C50" s="339" t="s">
        <v>323</v>
      </c>
      <c r="D50" s="110" t="s">
        <v>202</v>
      </c>
      <c r="E50" s="296" t="s">
        <v>188</v>
      </c>
      <c r="F50" s="296" t="s">
        <v>183</v>
      </c>
      <c r="G50" s="296" t="s">
        <v>183</v>
      </c>
      <c r="H50" s="296" t="s">
        <v>183</v>
      </c>
      <c r="I50" s="296" t="s">
        <v>183</v>
      </c>
      <c r="J50" s="296" t="s">
        <v>183</v>
      </c>
      <c r="K50" s="197" t="s">
        <v>4</v>
      </c>
      <c r="L50" s="197" t="s">
        <v>4</v>
      </c>
      <c r="M50" s="107" t="s">
        <v>5</v>
      </c>
      <c r="N50" s="111" t="s">
        <v>5</v>
      </c>
      <c r="O50" s="102" t="s">
        <v>376</v>
      </c>
      <c r="P50" s="204"/>
      <c r="Q50" s="204"/>
      <c r="R50" s="188" t="s">
        <v>4</v>
      </c>
      <c r="S50" s="113"/>
      <c r="T50" s="70"/>
      <c r="U50" s="70"/>
      <c r="V50" s="70"/>
      <c r="W50" s="70"/>
      <c r="X50" s="44"/>
      <c r="Y50" s="44"/>
      <c r="Z50" s="44"/>
      <c r="AA50" s="44"/>
      <c r="AB50" s="66"/>
      <c r="AC50" s="80"/>
      <c r="AD50" s="63"/>
      <c r="AE50" s="63"/>
      <c r="AF50" s="66"/>
      <c r="AG50" s="66"/>
      <c r="AH50" s="374"/>
      <c r="AI50" s="66"/>
      <c r="AJ50" s="374"/>
      <c r="AK50" s="66"/>
      <c r="AL50" s="66"/>
      <c r="AM50" s="66"/>
      <c r="AN50" s="66"/>
      <c r="AO50" s="66"/>
      <c r="AP50" s="44"/>
      <c r="AQ50" s="63"/>
      <c r="AR50" s="63"/>
      <c r="AS50" s="63"/>
      <c r="AT50" s="63"/>
      <c r="AU50" s="63"/>
      <c r="AV50" s="63"/>
      <c r="AW50" s="63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114"/>
      <c r="CP50" s="44"/>
      <c r="CQ50" s="214"/>
      <c r="CR50" s="214"/>
      <c r="CS50" s="214"/>
      <c r="CT50" s="214"/>
      <c r="CU50" s="214"/>
      <c r="CV50" s="214"/>
      <c r="CW50" s="214"/>
      <c r="CX50" s="214"/>
      <c r="CY50" s="214"/>
      <c r="CZ50" s="214"/>
      <c r="DA50" s="214"/>
      <c r="DB50" s="214"/>
      <c r="DC50" s="214"/>
      <c r="DD50" s="214"/>
      <c r="DE50" s="214"/>
      <c r="DF50" s="214"/>
      <c r="DG50" s="214"/>
      <c r="DH50" s="214"/>
      <c r="DI50" s="214"/>
    </row>
    <row r="51" spans="1:113" s="115" customFormat="1" ht="18" collapsed="1" x14ac:dyDescent="0.3">
      <c r="A51" s="214"/>
      <c r="B51" s="199"/>
      <c r="C51" s="339" t="s">
        <v>324</v>
      </c>
      <c r="D51" s="110" t="s">
        <v>202</v>
      </c>
      <c r="E51" s="296" t="s">
        <v>188</v>
      </c>
      <c r="F51" s="296" t="s">
        <v>183</v>
      </c>
      <c r="G51" s="296" t="s">
        <v>183</v>
      </c>
      <c r="H51" s="296" t="s">
        <v>183</v>
      </c>
      <c r="I51" s="296" t="s">
        <v>183</v>
      </c>
      <c r="J51" s="296" t="s">
        <v>183</v>
      </c>
      <c r="K51" s="197" t="s">
        <v>4</v>
      </c>
      <c r="L51" s="197" t="s">
        <v>4</v>
      </c>
      <c r="M51" s="107" t="s">
        <v>5</v>
      </c>
      <c r="N51" s="111" t="s">
        <v>5</v>
      </c>
      <c r="O51" s="102" t="s">
        <v>376</v>
      </c>
      <c r="P51" s="204"/>
      <c r="Q51" s="204"/>
      <c r="R51" s="188" t="s">
        <v>4</v>
      </c>
      <c r="S51" s="113"/>
      <c r="T51" s="70"/>
      <c r="U51" s="70"/>
      <c r="V51" s="70"/>
      <c r="W51" s="70"/>
      <c r="X51" s="44"/>
      <c r="Y51" s="44"/>
      <c r="Z51" s="44"/>
      <c r="AA51" s="44"/>
      <c r="AB51" s="66"/>
      <c r="AC51" s="80"/>
      <c r="AD51" s="63"/>
      <c r="AE51" s="63"/>
      <c r="AF51" s="66"/>
      <c r="AG51" s="66"/>
      <c r="AH51" s="374"/>
      <c r="AI51" s="66"/>
      <c r="AJ51" s="374"/>
      <c r="AK51" s="66"/>
      <c r="AL51" s="66"/>
      <c r="AM51" s="66"/>
      <c r="AN51" s="66"/>
      <c r="AO51" s="66"/>
      <c r="AP51" s="44"/>
      <c r="AQ51" s="63"/>
      <c r="AR51" s="63"/>
      <c r="AS51" s="63"/>
      <c r="AT51" s="63"/>
      <c r="AU51" s="63"/>
      <c r="AV51" s="63"/>
      <c r="AW51" s="63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114"/>
      <c r="CP51" s="44"/>
      <c r="CQ51" s="214"/>
      <c r="CR51" s="214"/>
      <c r="CS51" s="214"/>
      <c r="CT51" s="214"/>
      <c r="CU51" s="214"/>
      <c r="CV51" s="214"/>
      <c r="CW51" s="214"/>
      <c r="CX51" s="214"/>
      <c r="CY51" s="214"/>
      <c r="CZ51" s="214"/>
      <c r="DA51" s="214"/>
      <c r="DB51" s="214"/>
      <c r="DC51" s="214"/>
      <c r="DD51" s="214"/>
      <c r="DE51" s="214"/>
      <c r="DF51" s="214"/>
      <c r="DG51" s="214"/>
      <c r="DH51" s="214"/>
      <c r="DI51" s="214"/>
    </row>
    <row r="52" spans="1:113" s="115" customFormat="1" ht="18" x14ac:dyDescent="0.3">
      <c r="A52" s="214"/>
      <c r="B52" s="199"/>
      <c r="C52" s="339" t="s">
        <v>375</v>
      </c>
      <c r="D52" s="110" t="s">
        <v>202</v>
      </c>
      <c r="E52" s="296" t="s">
        <v>188</v>
      </c>
      <c r="F52" s="296" t="s">
        <v>183</v>
      </c>
      <c r="G52" s="296" t="s">
        <v>183</v>
      </c>
      <c r="H52" s="296" t="s">
        <v>183</v>
      </c>
      <c r="I52" s="296" t="s">
        <v>183</v>
      </c>
      <c r="J52" s="296" t="s">
        <v>183</v>
      </c>
      <c r="K52" s="197" t="s">
        <v>4</v>
      </c>
      <c r="L52" s="197" t="s">
        <v>4</v>
      </c>
      <c r="M52" s="107" t="s">
        <v>5</v>
      </c>
      <c r="N52" s="111" t="s">
        <v>5</v>
      </c>
      <c r="O52" s="102" t="s">
        <v>376</v>
      </c>
      <c r="P52" s="204"/>
      <c r="Q52" s="204"/>
      <c r="R52" s="188" t="s">
        <v>4</v>
      </c>
      <c r="S52" s="113"/>
      <c r="T52" s="70"/>
      <c r="U52" s="70"/>
      <c r="V52" s="70"/>
      <c r="W52" s="70"/>
      <c r="X52" s="44"/>
      <c r="Y52" s="44"/>
      <c r="Z52" s="44"/>
      <c r="AA52" s="44"/>
      <c r="AB52" s="66"/>
      <c r="AC52" s="80"/>
      <c r="AD52" s="63"/>
      <c r="AE52" s="63"/>
      <c r="AF52" s="66"/>
      <c r="AG52" s="66"/>
      <c r="AH52" s="374"/>
      <c r="AI52" s="66"/>
      <c r="AJ52" s="374"/>
      <c r="AK52" s="66"/>
      <c r="AL52" s="66"/>
      <c r="AM52" s="66"/>
      <c r="AN52" s="66"/>
      <c r="AO52" s="66"/>
      <c r="AP52" s="44"/>
      <c r="AQ52" s="63"/>
      <c r="AR52" s="63"/>
      <c r="AS52" s="63"/>
      <c r="AT52" s="63"/>
      <c r="AU52" s="63"/>
      <c r="AV52" s="63"/>
      <c r="AW52" s="63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114"/>
      <c r="CP52" s="44"/>
      <c r="CQ52" s="214"/>
      <c r="CR52" s="214"/>
      <c r="CS52" s="214"/>
      <c r="CT52" s="214"/>
      <c r="CU52" s="214"/>
      <c r="CV52" s="214"/>
      <c r="CW52" s="214"/>
      <c r="CX52" s="214"/>
      <c r="CY52" s="214"/>
      <c r="CZ52" s="214"/>
      <c r="DA52" s="214"/>
      <c r="DB52" s="214"/>
      <c r="DC52" s="214"/>
      <c r="DD52" s="214"/>
      <c r="DE52" s="214"/>
      <c r="DF52" s="214"/>
      <c r="DG52" s="214"/>
      <c r="DH52" s="214"/>
      <c r="DI52" s="214"/>
    </row>
    <row r="53" spans="1:113" s="115" customFormat="1" ht="18" x14ac:dyDescent="0.3">
      <c r="A53" s="214"/>
      <c r="B53" s="199"/>
      <c r="C53" s="346" t="s">
        <v>366</v>
      </c>
      <c r="D53" s="110" t="s">
        <v>202</v>
      </c>
      <c r="E53" s="296" t="s">
        <v>188</v>
      </c>
      <c r="F53" s="296" t="s">
        <v>183</v>
      </c>
      <c r="G53" s="296" t="s">
        <v>183</v>
      </c>
      <c r="H53" s="296" t="s">
        <v>183</v>
      </c>
      <c r="I53" s="296" t="s">
        <v>183</v>
      </c>
      <c r="J53" s="296" t="s">
        <v>183</v>
      </c>
      <c r="K53" s="197" t="s">
        <v>4</v>
      </c>
      <c r="L53" s="197" t="s">
        <v>4</v>
      </c>
      <c r="M53" s="107" t="s">
        <v>5</v>
      </c>
      <c r="N53" s="111" t="s">
        <v>5</v>
      </c>
      <c r="O53" s="102" t="s">
        <v>376</v>
      </c>
      <c r="P53" s="204"/>
      <c r="Q53" s="204"/>
      <c r="R53" s="188" t="s">
        <v>4</v>
      </c>
      <c r="S53" s="113"/>
      <c r="T53" s="70"/>
      <c r="U53" s="70"/>
      <c r="V53" s="70"/>
      <c r="W53" s="70"/>
      <c r="X53" s="44"/>
      <c r="Y53" s="44"/>
      <c r="Z53" s="44"/>
      <c r="AA53" s="44"/>
      <c r="AB53" s="66"/>
      <c r="AC53" s="80"/>
      <c r="AD53" s="63"/>
      <c r="AE53" s="63"/>
      <c r="AF53" s="66"/>
      <c r="AG53" s="66"/>
      <c r="AH53" s="374"/>
      <c r="AI53" s="66"/>
      <c r="AJ53" s="374"/>
      <c r="AK53" s="66"/>
      <c r="AL53" s="66"/>
      <c r="AM53" s="66"/>
      <c r="AN53" s="66"/>
      <c r="AO53" s="66"/>
      <c r="AP53" s="44"/>
      <c r="AQ53" s="63"/>
      <c r="AR53" s="63"/>
      <c r="AS53" s="63"/>
      <c r="AT53" s="63"/>
      <c r="AU53" s="63"/>
      <c r="AV53" s="63"/>
      <c r="AW53" s="63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114"/>
      <c r="CP53" s="44"/>
      <c r="CQ53" s="214"/>
      <c r="CR53" s="214"/>
      <c r="CS53" s="214"/>
      <c r="CT53" s="214"/>
      <c r="CU53" s="214"/>
      <c r="CV53" s="214"/>
      <c r="CW53" s="214"/>
      <c r="CX53" s="214"/>
      <c r="CY53" s="214"/>
      <c r="CZ53" s="214"/>
      <c r="DA53" s="214"/>
      <c r="DB53" s="214"/>
      <c r="DC53" s="214"/>
      <c r="DD53" s="214"/>
      <c r="DE53" s="214"/>
      <c r="DF53" s="214"/>
      <c r="DG53" s="214"/>
      <c r="DH53" s="214"/>
      <c r="DI53" s="214"/>
    </row>
    <row r="54" spans="1:113" s="115" customFormat="1" ht="18" x14ac:dyDescent="0.3">
      <c r="A54" s="214"/>
      <c r="B54" s="199"/>
      <c r="C54" s="346" t="s">
        <v>319</v>
      </c>
      <c r="D54" s="110" t="s">
        <v>202</v>
      </c>
      <c r="E54" s="296" t="s">
        <v>188</v>
      </c>
      <c r="F54" s="296" t="s">
        <v>183</v>
      </c>
      <c r="G54" s="296" t="s">
        <v>183</v>
      </c>
      <c r="H54" s="296" t="s">
        <v>183</v>
      </c>
      <c r="I54" s="296" t="s">
        <v>183</v>
      </c>
      <c r="J54" s="296" t="s">
        <v>183</v>
      </c>
      <c r="K54" s="197" t="s">
        <v>4</v>
      </c>
      <c r="L54" s="197" t="s">
        <v>4</v>
      </c>
      <c r="M54" s="107" t="s">
        <v>5</v>
      </c>
      <c r="N54" s="111" t="s">
        <v>5</v>
      </c>
      <c r="O54" s="102" t="s">
        <v>376</v>
      </c>
      <c r="P54" s="204"/>
      <c r="Q54" s="204"/>
      <c r="R54" s="188" t="s">
        <v>4</v>
      </c>
      <c r="S54" s="113"/>
      <c r="T54" s="70"/>
      <c r="U54" s="70"/>
      <c r="V54" s="70"/>
      <c r="W54" s="70"/>
      <c r="X54" s="44"/>
      <c r="Y54" s="44"/>
      <c r="Z54" s="44"/>
      <c r="AA54" s="44"/>
      <c r="AB54" s="66"/>
      <c r="AC54" s="80"/>
      <c r="AD54" s="63"/>
      <c r="AE54" s="63"/>
      <c r="AF54" s="66"/>
      <c r="AG54" s="66"/>
      <c r="AH54" s="374"/>
      <c r="AI54" s="66"/>
      <c r="AJ54" s="374"/>
      <c r="AK54" s="66"/>
      <c r="AL54" s="66"/>
      <c r="AM54" s="66"/>
      <c r="AN54" s="66"/>
      <c r="AO54" s="66"/>
      <c r="AP54" s="44"/>
      <c r="AQ54" s="63"/>
      <c r="AR54" s="63"/>
      <c r="AS54" s="63"/>
      <c r="AT54" s="63"/>
      <c r="AU54" s="63"/>
      <c r="AV54" s="63"/>
      <c r="AW54" s="63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114"/>
      <c r="CP54" s="44"/>
      <c r="CQ54" s="214"/>
      <c r="CR54" s="214"/>
      <c r="CS54" s="214"/>
      <c r="CT54" s="214"/>
      <c r="CU54" s="214"/>
      <c r="CV54" s="214"/>
      <c r="CW54" s="214"/>
      <c r="CX54" s="214"/>
      <c r="CY54" s="214"/>
      <c r="CZ54" s="214"/>
      <c r="DA54" s="214"/>
      <c r="DB54" s="214"/>
      <c r="DC54" s="214"/>
      <c r="DD54" s="214"/>
      <c r="DE54" s="214"/>
      <c r="DF54" s="214"/>
      <c r="DG54" s="214"/>
      <c r="DH54" s="214"/>
      <c r="DI54" s="214"/>
    </row>
    <row r="55" spans="1:113" s="115" customFormat="1" ht="18" x14ac:dyDescent="0.3">
      <c r="A55" s="214"/>
      <c r="B55" s="199"/>
      <c r="C55" s="346" t="s">
        <v>367</v>
      </c>
      <c r="D55" s="110" t="s">
        <v>202</v>
      </c>
      <c r="E55" s="296" t="s">
        <v>188</v>
      </c>
      <c r="F55" s="296" t="s">
        <v>183</v>
      </c>
      <c r="G55" s="296" t="s">
        <v>183</v>
      </c>
      <c r="H55" s="296" t="s">
        <v>183</v>
      </c>
      <c r="I55" s="296" t="s">
        <v>183</v>
      </c>
      <c r="J55" s="296" t="s">
        <v>183</v>
      </c>
      <c r="K55" s="197" t="s">
        <v>4</v>
      </c>
      <c r="L55" s="197" t="s">
        <v>4</v>
      </c>
      <c r="M55" s="107" t="s">
        <v>5</v>
      </c>
      <c r="N55" s="111" t="s">
        <v>5</v>
      </c>
      <c r="O55" s="102" t="s">
        <v>376</v>
      </c>
      <c r="P55" s="204"/>
      <c r="Q55" s="204"/>
      <c r="R55" s="188" t="s">
        <v>4</v>
      </c>
      <c r="S55" s="113"/>
      <c r="T55" s="70"/>
      <c r="U55" s="70"/>
      <c r="V55" s="70"/>
      <c r="W55" s="70"/>
      <c r="X55" s="44"/>
      <c r="Y55" s="44"/>
      <c r="Z55" s="44"/>
      <c r="AA55" s="44"/>
      <c r="AB55" s="66"/>
      <c r="AC55" s="80"/>
      <c r="AD55" s="63"/>
      <c r="AE55" s="63"/>
      <c r="AF55" s="66"/>
      <c r="AG55" s="66"/>
      <c r="AH55" s="374"/>
      <c r="AI55" s="66"/>
      <c r="AJ55" s="374"/>
      <c r="AK55" s="66"/>
      <c r="AL55" s="66"/>
      <c r="AM55" s="66"/>
      <c r="AN55" s="66"/>
      <c r="AO55" s="66"/>
      <c r="AP55" s="44"/>
      <c r="AQ55" s="63"/>
      <c r="AR55" s="63"/>
      <c r="AS55" s="63"/>
      <c r="AT55" s="63"/>
      <c r="AU55" s="63"/>
      <c r="AV55" s="63"/>
      <c r="AW55" s="63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114"/>
      <c r="CP55" s="44"/>
      <c r="CQ55" s="214"/>
      <c r="CR55" s="214"/>
      <c r="CS55" s="214"/>
      <c r="CT55" s="214"/>
      <c r="CU55" s="214"/>
      <c r="CV55" s="214"/>
      <c r="CW55" s="214"/>
      <c r="CX55" s="214"/>
      <c r="CY55" s="214"/>
      <c r="CZ55" s="214"/>
      <c r="DA55" s="214"/>
      <c r="DB55" s="214"/>
      <c r="DC55" s="214"/>
      <c r="DD55" s="214"/>
      <c r="DE55" s="214"/>
      <c r="DF55" s="214"/>
      <c r="DG55" s="214"/>
      <c r="DH55" s="214"/>
      <c r="DI55" s="214"/>
    </row>
    <row r="56" spans="1:113" s="115" customFormat="1" ht="18" x14ac:dyDescent="0.3">
      <c r="A56" s="214"/>
      <c r="B56" s="199"/>
      <c r="C56" s="346" t="s">
        <v>368</v>
      </c>
      <c r="D56" s="110" t="s">
        <v>202</v>
      </c>
      <c r="E56" s="296" t="s">
        <v>188</v>
      </c>
      <c r="F56" s="296" t="s">
        <v>183</v>
      </c>
      <c r="G56" s="296" t="s">
        <v>183</v>
      </c>
      <c r="H56" s="296" t="s">
        <v>183</v>
      </c>
      <c r="I56" s="296" t="s">
        <v>183</v>
      </c>
      <c r="J56" s="296" t="s">
        <v>183</v>
      </c>
      <c r="K56" s="197" t="s">
        <v>4</v>
      </c>
      <c r="L56" s="197" t="s">
        <v>4</v>
      </c>
      <c r="M56" s="107" t="s">
        <v>5</v>
      </c>
      <c r="N56" s="111" t="s">
        <v>5</v>
      </c>
      <c r="O56" s="102" t="s">
        <v>376</v>
      </c>
      <c r="P56" s="204"/>
      <c r="Q56" s="204"/>
      <c r="R56" s="188" t="s">
        <v>4</v>
      </c>
      <c r="S56" s="113"/>
      <c r="T56" s="70"/>
      <c r="U56" s="70"/>
      <c r="V56" s="70"/>
      <c r="W56" s="70"/>
      <c r="X56" s="44"/>
      <c r="Y56" s="44"/>
      <c r="Z56" s="44"/>
      <c r="AA56" s="44"/>
      <c r="AB56" s="66"/>
      <c r="AC56" s="80"/>
      <c r="AD56" s="63"/>
      <c r="AE56" s="63"/>
      <c r="AF56" s="66"/>
      <c r="AG56" s="66"/>
      <c r="AH56" s="374"/>
      <c r="AI56" s="66"/>
      <c r="AJ56" s="374"/>
      <c r="AK56" s="66"/>
      <c r="AL56" s="66"/>
      <c r="AM56" s="66"/>
      <c r="AN56" s="66"/>
      <c r="AO56" s="66"/>
      <c r="AP56" s="44"/>
      <c r="AQ56" s="63"/>
      <c r="AR56" s="63"/>
      <c r="AS56" s="63"/>
      <c r="AT56" s="63"/>
      <c r="AU56" s="63"/>
      <c r="AV56" s="63"/>
      <c r="AW56" s="63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114"/>
      <c r="CP56" s="44"/>
      <c r="CQ56" s="214"/>
      <c r="CR56" s="214"/>
      <c r="CS56" s="214"/>
      <c r="CT56" s="214"/>
      <c r="CU56" s="214"/>
      <c r="CV56" s="214"/>
      <c r="CW56" s="214"/>
      <c r="CX56" s="214"/>
      <c r="CY56" s="214"/>
      <c r="CZ56" s="214"/>
      <c r="DA56" s="214"/>
      <c r="DB56" s="214"/>
      <c r="DC56" s="214"/>
      <c r="DD56" s="214"/>
      <c r="DE56" s="214"/>
      <c r="DF56" s="214"/>
      <c r="DG56" s="214"/>
      <c r="DH56" s="214"/>
      <c r="DI56" s="214"/>
    </row>
    <row r="57" spans="1:113" s="115" customFormat="1" ht="18" x14ac:dyDescent="0.3">
      <c r="A57" s="214"/>
      <c r="B57" s="199"/>
      <c r="C57" s="346" t="s">
        <v>369</v>
      </c>
      <c r="D57" s="110" t="s">
        <v>202</v>
      </c>
      <c r="E57" s="296" t="s">
        <v>188</v>
      </c>
      <c r="F57" s="296" t="s">
        <v>183</v>
      </c>
      <c r="G57" s="296" t="s">
        <v>183</v>
      </c>
      <c r="H57" s="296" t="s">
        <v>183</v>
      </c>
      <c r="I57" s="296" t="s">
        <v>183</v>
      </c>
      <c r="J57" s="296" t="s">
        <v>183</v>
      </c>
      <c r="K57" s="197" t="s">
        <v>4</v>
      </c>
      <c r="L57" s="197" t="s">
        <v>4</v>
      </c>
      <c r="M57" s="107" t="s">
        <v>5</v>
      </c>
      <c r="N57" s="111" t="s">
        <v>5</v>
      </c>
      <c r="O57" s="102" t="s">
        <v>376</v>
      </c>
      <c r="P57" s="204"/>
      <c r="Q57" s="204"/>
      <c r="R57" s="188" t="s">
        <v>4</v>
      </c>
      <c r="S57" s="113"/>
      <c r="T57" s="70"/>
      <c r="U57" s="70"/>
      <c r="V57" s="70"/>
      <c r="W57" s="70"/>
      <c r="X57" s="44"/>
      <c r="Y57" s="44"/>
      <c r="Z57" s="44"/>
      <c r="AA57" s="44"/>
      <c r="AB57" s="66"/>
      <c r="AC57" s="80"/>
      <c r="AD57" s="63"/>
      <c r="AE57" s="63"/>
      <c r="AF57" s="66"/>
      <c r="AG57" s="66"/>
      <c r="AH57" s="374"/>
      <c r="AI57" s="66"/>
      <c r="AJ57" s="374"/>
      <c r="AK57" s="66"/>
      <c r="AL57" s="66"/>
      <c r="AM57" s="66"/>
      <c r="AN57" s="66"/>
      <c r="AO57" s="66"/>
      <c r="AP57" s="44"/>
      <c r="AQ57" s="63"/>
      <c r="AR57" s="63"/>
      <c r="AS57" s="63"/>
      <c r="AT57" s="63"/>
      <c r="AU57" s="63"/>
      <c r="AV57" s="63"/>
      <c r="AW57" s="63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114"/>
      <c r="CP57" s="44"/>
      <c r="CQ57" s="214"/>
      <c r="CR57" s="214"/>
      <c r="CS57" s="214"/>
      <c r="CT57" s="214"/>
      <c r="CU57" s="214"/>
      <c r="CV57" s="214"/>
      <c r="CW57" s="214"/>
      <c r="CX57" s="214"/>
      <c r="CY57" s="214"/>
      <c r="CZ57" s="214"/>
      <c r="DA57" s="214"/>
      <c r="DB57" s="214"/>
      <c r="DC57" s="214"/>
      <c r="DD57" s="214"/>
      <c r="DE57" s="214"/>
      <c r="DF57" s="214"/>
      <c r="DG57" s="214"/>
      <c r="DH57" s="214"/>
      <c r="DI57" s="214"/>
    </row>
    <row r="58" spans="1:113" s="115" customFormat="1" ht="18" x14ac:dyDescent="0.3">
      <c r="A58" s="214"/>
      <c r="B58" s="199"/>
      <c r="C58" s="346" t="s">
        <v>370</v>
      </c>
      <c r="D58" s="110" t="s">
        <v>202</v>
      </c>
      <c r="E58" s="296" t="s">
        <v>188</v>
      </c>
      <c r="F58" s="296" t="s">
        <v>183</v>
      </c>
      <c r="G58" s="296" t="s">
        <v>183</v>
      </c>
      <c r="H58" s="296" t="s">
        <v>183</v>
      </c>
      <c r="I58" s="296" t="s">
        <v>183</v>
      </c>
      <c r="J58" s="296" t="s">
        <v>183</v>
      </c>
      <c r="K58" s="197" t="s">
        <v>4</v>
      </c>
      <c r="L58" s="197" t="s">
        <v>4</v>
      </c>
      <c r="M58" s="107" t="s">
        <v>5</v>
      </c>
      <c r="N58" s="111" t="s">
        <v>5</v>
      </c>
      <c r="O58" s="102" t="s">
        <v>376</v>
      </c>
      <c r="P58" s="204"/>
      <c r="Q58" s="204"/>
      <c r="R58" s="188" t="s">
        <v>4</v>
      </c>
      <c r="S58" s="113"/>
      <c r="T58" s="70"/>
      <c r="U58" s="70"/>
      <c r="V58" s="70"/>
      <c r="W58" s="70"/>
      <c r="X58" s="44"/>
      <c r="Y58" s="44"/>
      <c r="Z58" s="44"/>
      <c r="AA58" s="44"/>
      <c r="AB58" s="66"/>
      <c r="AC58" s="80"/>
      <c r="AD58" s="63"/>
      <c r="AE58" s="63"/>
      <c r="AF58" s="66"/>
      <c r="AG58" s="66"/>
      <c r="AH58" s="374"/>
      <c r="AI58" s="66"/>
      <c r="AJ58" s="374"/>
      <c r="AK58" s="66"/>
      <c r="AL58" s="66"/>
      <c r="AM58" s="66"/>
      <c r="AN58" s="66"/>
      <c r="AO58" s="66"/>
      <c r="AP58" s="44"/>
      <c r="AQ58" s="63"/>
      <c r="AR58" s="63"/>
      <c r="AS58" s="63"/>
      <c r="AT58" s="63"/>
      <c r="AU58" s="63"/>
      <c r="AV58" s="63"/>
      <c r="AW58" s="63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114"/>
      <c r="CP58" s="44"/>
      <c r="CQ58" s="214"/>
      <c r="CR58" s="214"/>
      <c r="CS58" s="214"/>
      <c r="CT58" s="214"/>
      <c r="CU58" s="214"/>
      <c r="CV58" s="214"/>
      <c r="CW58" s="214"/>
      <c r="CX58" s="214"/>
      <c r="CY58" s="214"/>
      <c r="CZ58" s="214"/>
      <c r="DA58" s="214"/>
      <c r="DB58" s="214"/>
      <c r="DC58" s="214"/>
      <c r="DD58" s="214"/>
      <c r="DE58" s="214"/>
      <c r="DF58" s="214"/>
      <c r="DG58" s="214"/>
      <c r="DH58" s="214"/>
      <c r="DI58" s="214"/>
    </row>
    <row r="59" spans="1:113" s="88" customFormat="1" ht="18" x14ac:dyDescent="0.25">
      <c r="A59" s="210"/>
      <c r="B59" s="332"/>
      <c r="C59" s="333" t="s">
        <v>286</v>
      </c>
      <c r="D59" s="334" t="s">
        <v>341</v>
      </c>
      <c r="E59" s="335" t="s">
        <v>188</v>
      </c>
      <c r="F59" s="335" t="s">
        <v>183</v>
      </c>
      <c r="G59" s="335" t="s">
        <v>183</v>
      </c>
      <c r="H59" s="335" t="s">
        <v>183</v>
      </c>
      <c r="I59" s="335" t="s">
        <v>183</v>
      </c>
      <c r="J59" s="335" t="s">
        <v>183</v>
      </c>
      <c r="K59" s="335" t="s">
        <v>183</v>
      </c>
      <c r="L59" s="335" t="s">
        <v>183</v>
      </c>
      <c r="M59" s="336">
        <v>4.95</v>
      </c>
      <c r="N59" s="337">
        <v>4.95</v>
      </c>
      <c r="O59" s="338" t="s">
        <v>201</v>
      </c>
      <c r="P59" s="204"/>
      <c r="Q59" s="204"/>
      <c r="R59" s="186" t="s">
        <v>4</v>
      </c>
      <c r="S59" s="70"/>
      <c r="T59" s="70"/>
      <c r="U59" s="70"/>
      <c r="V59" s="70"/>
      <c r="W59" s="70"/>
      <c r="X59" s="93"/>
      <c r="Y59" s="70"/>
      <c r="Z59" s="70"/>
      <c r="AA59" s="105"/>
      <c r="AB59" s="106"/>
      <c r="AC59" s="80"/>
      <c r="AD59" s="66"/>
      <c r="AE59" s="66"/>
      <c r="AF59" s="66"/>
      <c r="AG59" s="66"/>
      <c r="AH59" s="374"/>
      <c r="AI59" s="66"/>
      <c r="AJ59" s="374"/>
      <c r="AK59" s="66"/>
      <c r="AL59" s="66"/>
      <c r="AM59" s="66"/>
      <c r="AN59" s="66"/>
      <c r="AO59" s="66"/>
      <c r="AP59" s="66"/>
      <c r="AQ59" s="66"/>
      <c r="AR59" s="66"/>
      <c r="AS59" s="106"/>
      <c r="AT59" s="66"/>
      <c r="AU59" s="70"/>
      <c r="AV59" s="70"/>
      <c r="AW59" s="105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80"/>
      <c r="CP59" s="70"/>
      <c r="CQ59" s="210"/>
      <c r="CR59" s="210"/>
      <c r="CS59" s="210"/>
      <c r="CT59" s="210"/>
      <c r="CU59" s="210"/>
      <c r="CV59" s="210"/>
      <c r="CW59" s="210"/>
      <c r="CX59" s="210"/>
      <c r="CY59" s="210"/>
      <c r="CZ59" s="210"/>
      <c r="DA59" s="210"/>
      <c r="DB59" s="210"/>
      <c r="DC59" s="210"/>
      <c r="DD59" s="210"/>
      <c r="DE59" s="210"/>
      <c r="DF59" s="210"/>
      <c r="DG59" s="210"/>
      <c r="DH59" s="210"/>
      <c r="DI59" s="210"/>
    </row>
    <row r="60" spans="1:113" s="88" customFormat="1" ht="18" x14ac:dyDescent="0.25">
      <c r="A60" s="210"/>
      <c r="B60" s="332"/>
      <c r="C60" s="333" t="s">
        <v>287</v>
      </c>
      <c r="D60" s="334" t="s">
        <v>342</v>
      </c>
      <c r="E60" s="335" t="s">
        <v>188</v>
      </c>
      <c r="F60" s="335" t="s">
        <v>183</v>
      </c>
      <c r="G60" s="335" t="s">
        <v>183</v>
      </c>
      <c r="H60" s="335" t="s">
        <v>183</v>
      </c>
      <c r="I60" s="335" t="s">
        <v>183</v>
      </c>
      <c r="J60" s="335" t="s">
        <v>183</v>
      </c>
      <c r="K60" s="335" t="s">
        <v>183</v>
      </c>
      <c r="L60" s="335" t="s">
        <v>183</v>
      </c>
      <c r="M60" s="336">
        <v>11.95</v>
      </c>
      <c r="N60" s="337">
        <v>11.95</v>
      </c>
      <c r="O60" s="338" t="s">
        <v>201</v>
      </c>
      <c r="P60" s="204"/>
      <c r="Q60" s="204"/>
      <c r="R60" s="186" t="s">
        <v>4</v>
      </c>
      <c r="S60" s="70"/>
      <c r="T60" s="70"/>
      <c r="U60" s="70"/>
      <c r="V60" s="70"/>
      <c r="W60" s="70"/>
      <c r="X60" s="93"/>
      <c r="Y60" s="70"/>
      <c r="Z60" s="70"/>
      <c r="AA60" s="105"/>
      <c r="AB60" s="106"/>
      <c r="AC60" s="80"/>
      <c r="AD60" s="66"/>
      <c r="AE60" s="66"/>
      <c r="AF60" s="66"/>
      <c r="AG60" s="66"/>
      <c r="AH60" s="374"/>
      <c r="AI60" s="66"/>
      <c r="AJ60" s="374"/>
      <c r="AK60" s="66"/>
      <c r="AL60" s="66"/>
      <c r="AM60" s="66"/>
      <c r="AN60" s="66"/>
      <c r="AO60" s="66"/>
      <c r="AP60" s="66"/>
      <c r="AQ60" s="66"/>
      <c r="AR60" s="66"/>
      <c r="AS60" s="106"/>
      <c r="AT60" s="66"/>
      <c r="AU60" s="70"/>
      <c r="AV60" s="70"/>
      <c r="AW60" s="105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80"/>
      <c r="CP60" s="70"/>
      <c r="CQ60" s="210"/>
      <c r="CR60" s="210"/>
      <c r="CS60" s="210"/>
      <c r="CT60" s="210"/>
      <c r="CU60" s="210"/>
      <c r="CV60" s="210"/>
      <c r="CW60" s="210"/>
      <c r="CX60" s="210"/>
      <c r="CY60" s="210"/>
      <c r="CZ60" s="210"/>
      <c r="DA60" s="210"/>
      <c r="DB60" s="210"/>
      <c r="DC60" s="210"/>
      <c r="DD60" s="210"/>
      <c r="DE60" s="210"/>
      <c r="DF60" s="210"/>
      <c r="DG60" s="210"/>
      <c r="DH60" s="210"/>
      <c r="DI60" s="210"/>
    </row>
    <row r="61" spans="1:113" s="88" customFormat="1" ht="18" x14ac:dyDescent="0.25">
      <c r="A61" s="210"/>
      <c r="B61" s="332"/>
      <c r="C61" s="333" t="s">
        <v>336</v>
      </c>
      <c r="D61" s="334" t="s">
        <v>342</v>
      </c>
      <c r="E61" s="335" t="s">
        <v>188</v>
      </c>
      <c r="F61" s="335" t="s">
        <v>183</v>
      </c>
      <c r="G61" s="335" t="s">
        <v>183</v>
      </c>
      <c r="H61" s="335" t="s">
        <v>183</v>
      </c>
      <c r="I61" s="335" t="s">
        <v>183</v>
      </c>
      <c r="J61" s="335" t="s">
        <v>183</v>
      </c>
      <c r="K61" s="335" t="s">
        <v>183</v>
      </c>
      <c r="L61" s="335" t="s">
        <v>183</v>
      </c>
      <c r="M61" s="336">
        <v>12.95</v>
      </c>
      <c r="N61" s="337">
        <v>12.95</v>
      </c>
      <c r="O61" s="338" t="s">
        <v>201</v>
      </c>
      <c r="P61" s="204"/>
      <c r="Q61" s="204"/>
      <c r="R61" s="186" t="s">
        <v>4</v>
      </c>
      <c r="S61" s="70"/>
      <c r="T61" s="70"/>
      <c r="U61" s="70"/>
      <c r="V61" s="70"/>
      <c r="W61" s="70"/>
      <c r="X61" s="93"/>
      <c r="Y61" s="70"/>
      <c r="Z61" s="70"/>
      <c r="AA61" s="105"/>
      <c r="AB61" s="106"/>
      <c r="AC61" s="80"/>
      <c r="AD61" s="66"/>
      <c r="AE61" s="66"/>
      <c r="AF61" s="66"/>
      <c r="AG61" s="66"/>
      <c r="AH61" s="374"/>
      <c r="AI61" s="66"/>
      <c r="AJ61" s="374"/>
      <c r="AK61" s="66"/>
      <c r="AL61" s="66"/>
      <c r="AM61" s="66"/>
      <c r="AN61" s="66"/>
      <c r="AO61" s="66"/>
      <c r="AP61" s="66"/>
      <c r="AQ61" s="66"/>
      <c r="AR61" s="66"/>
      <c r="AS61" s="106"/>
      <c r="AT61" s="66"/>
      <c r="AU61" s="70"/>
      <c r="AV61" s="70"/>
      <c r="AW61" s="105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80"/>
      <c r="CP61" s="70"/>
      <c r="CQ61" s="210"/>
      <c r="CR61" s="210"/>
      <c r="CS61" s="210"/>
      <c r="CT61" s="210"/>
      <c r="CU61" s="210"/>
      <c r="CV61" s="210"/>
      <c r="CW61" s="210"/>
      <c r="CX61" s="210"/>
      <c r="CY61" s="210"/>
      <c r="CZ61" s="210"/>
      <c r="DA61" s="210"/>
      <c r="DB61" s="210"/>
      <c r="DC61" s="210"/>
      <c r="DD61" s="210"/>
      <c r="DE61" s="210"/>
      <c r="DF61" s="210"/>
      <c r="DG61" s="210"/>
      <c r="DH61" s="210"/>
      <c r="DI61" s="210"/>
    </row>
    <row r="62" spans="1:113" s="88" customFormat="1" ht="18" x14ac:dyDescent="0.25">
      <c r="A62" s="210"/>
      <c r="B62" s="332"/>
      <c r="C62" s="333" t="s">
        <v>288</v>
      </c>
      <c r="D62" s="334" t="s">
        <v>342</v>
      </c>
      <c r="E62" s="335" t="s">
        <v>188</v>
      </c>
      <c r="F62" s="335" t="s">
        <v>183</v>
      </c>
      <c r="G62" s="335" t="s">
        <v>183</v>
      </c>
      <c r="H62" s="335" t="s">
        <v>183</v>
      </c>
      <c r="I62" s="335" t="s">
        <v>183</v>
      </c>
      <c r="J62" s="335" t="s">
        <v>183</v>
      </c>
      <c r="K62" s="335" t="s">
        <v>183</v>
      </c>
      <c r="L62" s="335" t="s">
        <v>183</v>
      </c>
      <c r="M62" s="336">
        <v>12.95</v>
      </c>
      <c r="N62" s="337">
        <v>12.95</v>
      </c>
      <c r="O62" s="338" t="s">
        <v>201</v>
      </c>
      <c r="P62" s="204"/>
      <c r="Q62" s="204"/>
      <c r="R62" s="186" t="s">
        <v>4</v>
      </c>
      <c r="S62" s="70"/>
      <c r="T62" s="70"/>
      <c r="U62" s="70"/>
      <c r="V62" s="70"/>
      <c r="W62" s="70"/>
      <c r="X62" s="93"/>
      <c r="Y62" s="70"/>
      <c r="Z62" s="70"/>
      <c r="AA62" s="105"/>
      <c r="AB62" s="106"/>
      <c r="AC62" s="80"/>
      <c r="AD62" s="66"/>
      <c r="AE62" s="66"/>
      <c r="AF62" s="66"/>
      <c r="AG62" s="66"/>
      <c r="AH62" s="374"/>
      <c r="AI62" s="66"/>
      <c r="AJ62" s="374"/>
      <c r="AK62" s="66"/>
      <c r="AL62" s="66"/>
      <c r="AM62" s="66"/>
      <c r="AN62" s="66"/>
      <c r="AO62" s="66"/>
      <c r="AP62" s="66"/>
      <c r="AQ62" s="66"/>
      <c r="AR62" s="66"/>
      <c r="AS62" s="106"/>
      <c r="AT62" s="66"/>
      <c r="AU62" s="70"/>
      <c r="AV62" s="70"/>
      <c r="AW62" s="105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80"/>
      <c r="CP62" s="70"/>
      <c r="CQ62" s="210"/>
      <c r="CR62" s="210"/>
      <c r="CS62" s="210"/>
      <c r="CT62" s="210"/>
      <c r="CU62" s="210"/>
      <c r="CV62" s="210"/>
      <c r="CW62" s="210"/>
      <c r="CX62" s="210"/>
      <c r="CY62" s="210"/>
      <c r="CZ62" s="210"/>
      <c r="DA62" s="210"/>
      <c r="DB62" s="210"/>
      <c r="DC62" s="210"/>
      <c r="DD62" s="210"/>
      <c r="DE62" s="210"/>
      <c r="DF62" s="210"/>
      <c r="DG62" s="210"/>
      <c r="DH62" s="210"/>
      <c r="DI62" s="210"/>
    </row>
    <row r="63" spans="1:113" s="88" customFormat="1" ht="18" x14ac:dyDescent="0.25">
      <c r="A63" s="210"/>
      <c r="B63" s="332"/>
      <c r="C63" s="333" t="s">
        <v>289</v>
      </c>
      <c r="D63" s="334" t="s">
        <v>343</v>
      </c>
      <c r="E63" s="335" t="s">
        <v>188</v>
      </c>
      <c r="F63" s="335" t="s">
        <v>183</v>
      </c>
      <c r="G63" s="335" t="s">
        <v>183</v>
      </c>
      <c r="H63" s="335" t="s">
        <v>183</v>
      </c>
      <c r="I63" s="335" t="s">
        <v>183</v>
      </c>
      <c r="J63" s="335" t="s">
        <v>183</v>
      </c>
      <c r="K63" s="335" t="s">
        <v>183</v>
      </c>
      <c r="L63" s="335" t="s">
        <v>183</v>
      </c>
      <c r="M63" s="336">
        <v>14.95</v>
      </c>
      <c r="N63" s="337">
        <v>14.95</v>
      </c>
      <c r="O63" s="338" t="s">
        <v>201</v>
      </c>
      <c r="P63" s="204"/>
      <c r="Q63" s="204"/>
      <c r="R63" s="186" t="s">
        <v>4</v>
      </c>
      <c r="S63" s="70"/>
      <c r="T63" s="70"/>
      <c r="U63" s="70"/>
      <c r="V63" s="70"/>
      <c r="W63" s="70"/>
      <c r="X63" s="93"/>
      <c r="Y63" s="70"/>
      <c r="Z63" s="70"/>
      <c r="AA63" s="105"/>
      <c r="AB63" s="106"/>
      <c r="AC63" s="80"/>
      <c r="AD63" s="66"/>
      <c r="AE63" s="66"/>
      <c r="AF63" s="66"/>
      <c r="AG63" s="66"/>
      <c r="AH63" s="374"/>
      <c r="AI63" s="66"/>
      <c r="AJ63" s="374"/>
      <c r="AK63" s="66"/>
      <c r="AL63" s="66"/>
      <c r="AM63" s="66"/>
      <c r="AN63" s="66"/>
      <c r="AO63" s="66"/>
      <c r="AP63" s="66"/>
      <c r="AQ63" s="66"/>
      <c r="AR63" s="66"/>
      <c r="AS63" s="106"/>
      <c r="AT63" s="66"/>
      <c r="AU63" s="70"/>
      <c r="AV63" s="70"/>
      <c r="AW63" s="105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80"/>
      <c r="CP63" s="70"/>
      <c r="CQ63" s="210"/>
      <c r="CR63" s="210"/>
      <c r="CS63" s="210"/>
      <c r="CT63" s="210"/>
      <c r="CU63" s="210"/>
      <c r="CV63" s="210"/>
      <c r="CW63" s="210"/>
      <c r="CX63" s="210"/>
      <c r="CY63" s="210"/>
      <c r="CZ63" s="210"/>
      <c r="DA63" s="210"/>
      <c r="DB63" s="210"/>
      <c r="DC63" s="210"/>
      <c r="DD63" s="210"/>
      <c r="DE63" s="210"/>
      <c r="DF63" s="210"/>
      <c r="DG63" s="210"/>
      <c r="DH63" s="210"/>
      <c r="DI63" s="210"/>
    </row>
    <row r="64" spans="1:113" s="88" customFormat="1" ht="18" x14ac:dyDescent="0.25">
      <c r="A64" s="210"/>
      <c r="B64" s="332"/>
      <c r="C64" s="333" t="s">
        <v>337</v>
      </c>
      <c r="D64" s="334" t="s">
        <v>342</v>
      </c>
      <c r="E64" s="335" t="s">
        <v>188</v>
      </c>
      <c r="F64" s="335" t="s">
        <v>183</v>
      </c>
      <c r="G64" s="335" t="s">
        <v>183</v>
      </c>
      <c r="H64" s="335" t="s">
        <v>183</v>
      </c>
      <c r="I64" s="335" t="s">
        <v>183</v>
      </c>
      <c r="J64" s="335" t="s">
        <v>183</v>
      </c>
      <c r="K64" s="335" t="s">
        <v>183</v>
      </c>
      <c r="L64" s="335" t="s">
        <v>183</v>
      </c>
      <c r="M64" s="336">
        <v>14.95</v>
      </c>
      <c r="N64" s="337">
        <v>14.95</v>
      </c>
      <c r="O64" s="338" t="s">
        <v>201</v>
      </c>
      <c r="P64" s="204"/>
      <c r="Q64" s="204"/>
      <c r="R64" s="186" t="s">
        <v>4</v>
      </c>
      <c r="S64" s="70"/>
      <c r="T64" s="70"/>
      <c r="U64" s="70"/>
      <c r="V64" s="70"/>
      <c r="W64" s="70"/>
      <c r="X64" s="93"/>
      <c r="Y64" s="70"/>
      <c r="Z64" s="70"/>
      <c r="AA64" s="105"/>
      <c r="AB64" s="106"/>
      <c r="AC64" s="80"/>
      <c r="AD64" s="66"/>
      <c r="AE64" s="66"/>
      <c r="AF64" s="66"/>
      <c r="AG64" s="66"/>
      <c r="AH64" s="374"/>
      <c r="AI64" s="66"/>
      <c r="AJ64" s="374"/>
      <c r="AK64" s="66"/>
      <c r="AL64" s="66"/>
      <c r="AM64" s="66"/>
      <c r="AN64" s="66"/>
      <c r="AO64" s="66"/>
      <c r="AP64" s="66"/>
      <c r="AQ64" s="66"/>
      <c r="AR64" s="66"/>
      <c r="AS64" s="106"/>
      <c r="AT64" s="66"/>
      <c r="AU64" s="70"/>
      <c r="AV64" s="70"/>
      <c r="AW64" s="105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80"/>
      <c r="CP64" s="70"/>
      <c r="CQ64" s="210"/>
      <c r="CR64" s="210"/>
      <c r="CS64" s="210"/>
      <c r="CT64" s="210"/>
      <c r="CU64" s="210"/>
      <c r="CV64" s="210"/>
      <c r="CW64" s="210"/>
      <c r="CX64" s="210"/>
      <c r="CY64" s="210"/>
      <c r="CZ64" s="210"/>
      <c r="DA64" s="210"/>
      <c r="DB64" s="210"/>
      <c r="DC64" s="210"/>
      <c r="DD64" s="210"/>
      <c r="DE64" s="210"/>
      <c r="DF64" s="210"/>
      <c r="DG64" s="210"/>
      <c r="DH64" s="210"/>
      <c r="DI64" s="210"/>
    </row>
    <row r="65" spans="1:113" s="88" customFormat="1" ht="18" x14ac:dyDescent="0.25">
      <c r="A65" s="210"/>
      <c r="B65" s="332"/>
      <c r="C65" s="333" t="s">
        <v>338</v>
      </c>
      <c r="D65" s="334" t="s">
        <v>342</v>
      </c>
      <c r="E65" s="335" t="s">
        <v>188</v>
      </c>
      <c r="F65" s="335" t="s">
        <v>183</v>
      </c>
      <c r="G65" s="335" t="s">
        <v>183</v>
      </c>
      <c r="H65" s="335" t="s">
        <v>183</v>
      </c>
      <c r="I65" s="335" t="s">
        <v>183</v>
      </c>
      <c r="J65" s="335" t="s">
        <v>183</v>
      </c>
      <c r="K65" s="335" t="s">
        <v>183</v>
      </c>
      <c r="L65" s="335" t="s">
        <v>183</v>
      </c>
      <c r="M65" s="336">
        <v>14.95</v>
      </c>
      <c r="N65" s="337">
        <v>14.95</v>
      </c>
      <c r="O65" s="338" t="s">
        <v>201</v>
      </c>
      <c r="P65" s="204"/>
      <c r="Q65" s="204"/>
      <c r="R65" s="186" t="s">
        <v>4</v>
      </c>
      <c r="S65" s="70"/>
      <c r="T65" s="70"/>
      <c r="U65" s="70"/>
      <c r="V65" s="70"/>
      <c r="W65" s="70"/>
      <c r="X65" s="93"/>
      <c r="Y65" s="70"/>
      <c r="Z65" s="70"/>
      <c r="AA65" s="105"/>
      <c r="AB65" s="106"/>
      <c r="AC65" s="80"/>
      <c r="AD65" s="66"/>
      <c r="AE65" s="66"/>
      <c r="AF65" s="66"/>
      <c r="AG65" s="66"/>
      <c r="AH65" s="374"/>
      <c r="AI65" s="66"/>
      <c r="AJ65" s="374"/>
      <c r="AK65" s="66"/>
      <c r="AL65" s="66"/>
      <c r="AM65" s="66"/>
      <c r="AN65" s="66"/>
      <c r="AO65" s="66"/>
      <c r="AP65" s="66"/>
      <c r="AQ65" s="66"/>
      <c r="AR65" s="66"/>
      <c r="AS65" s="106"/>
      <c r="AT65" s="66"/>
      <c r="AU65" s="70"/>
      <c r="AV65" s="70"/>
      <c r="AW65" s="105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80"/>
      <c r="CP65" s="70"/>
      <c r="CQ65" s="210"/>
      <c r="CR65" s="210"/>
      <c r="CS65" s="210"/>
      <c r="CT65" s="210"/>
      <c r="CU65" s="210"/>
      <c r="CV65" s="210"/>
      <c r="CW65" s="210"/>
      <c r="CX65" s="210"/>
      <c r="CY65" s="210"/>
      <c r="CZ65" s="210"/>
      <c r="DA65" s="210"/>
      <c r="DB65" s="210"/>
      <c r="DC65" s="210"/>
      <c r="DD65" s="210"/>
      <c r="DE65" s="210"/>
      <c r="DF65" s="210"/>
      <c r="DG65" s="210"/>
      <c r="DH65" s="210"/>
      <c r="DI65" s="210"/>
    </row>
    <row r="66" spans="1:113" s="88" customFormat="1" ht="18" x14ac:dyDescent="0.25">
      <c r="A66" s="210"/>
      <c r="B66" s="332"/>
      <c r="C66" s="333" t="s">
        <v>339</v>
      </c>
      <c r="D66" s="334" t="s">
        <v>343</v>
      </c>
      <c r="E66" s="335" t="s">
        <v>188</v>
      </c>
      <c r="F66" s="335" t="s">
        <v>183</v>
      </c>
      <c r="G66" s="335" t="s">
        <v>183</v>
      </c>
      <c r="H66" s="335" t="s">
        <v>183</v>
      </c>
      <c r="I66" s="335" t="s">
        <v>183</v>
      </c>
      <c r="J66" s="335" t="s">
        <v>183</v>
      </c>
      <c r="K66" s="335" t="s">
        <v>183</v>
      </c>
      <c r="L66" s="335" t="s">
        <v>183</v>
      </c>
      <c r="M66" s="336">
        <v>17.95</v>
      </c>
      <c r="N66" s="337">
        <v>17.95</v>
      </c>
      <c r="O66" s="338" t="s">
        <v>201</v>
      </c>
      <c r="P66" s="204"/>
      <c r="Q66" s="204"/>
      <c r="R66" s="186" t="s">
        <v>4</v>
      </c>
      <c r="S66" s="70"/>
      <c r="T66" s="70"/>
      <c r="U66" s="70"/>
      <c r="V66" s="70"/>
      <c r="W66" s="70"/>
      <c r="X66" s="93"/>
      <c r="Y66" s="70"/>
      <c r="Z66" s="70"/>
      <c r="AA66" s="105"/>
      <c r="AB66" s="106"/>
      <c r="AC66" s="80"/>
      <c r="AD66" s="66"/>
      <c r="AE66" s="66"/>
      <c r="AF66" s="66"/>
      <c r="AG66" s="66"/>
      <c r="AH66" s="374"/>
      <c r="AI66" s="66"/>
      <c r="AJ66" s="374"/>
      <c r="AK66" s="66"/>
      <c r="AL66" s="66"/>
      <c r="AM66" s="66"/>
      <c r="AN66" s="66"/>
      <c r="AO66" s="66"/>
      <c r="AP66" s="66"/>
      <c r="AQ66" s="66"/>
      <c r="AR66" s="66"/>
      <c r="AS66" s="106"/>
      <c r="AT66" s="66"/>
      <c r="AU66" s="70"/>
      <c r="AV66" s="70"/>
      <c r="AW66" s="105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80"/>
      <c r="CP66" s="70"/>
      <c r="CQ66" s="210"/>
      <c r="CR66" s="210"/>
      <c r="CS66" s="210"/>
      <c r="CT66" s="210"/>
      <c r="CU66" s="210"/>
      <c r="CV66" s="210"/>
      <c r="CW66" s="210"/>
      <c r="CX66" s="210"/>
      <c r="CY66" s="210"/>
      <c r="CZ66" s="210"/>
      <c r="DA66" s="210"/>
      <c r="DB66" s="210"/>
      <c r="DC66" s="210"/>
      <c r="DD66" s="210"/>
      <c r="DE66" s="210"/>
      <c r="DF66" s="210"/>
      <c r="DG66" s="210"/>
      <c r="DH66" s="210"/>
      <c r="DI66" s="210"/>
    </row>
    <row r="67" spans="1:113" s="88" customFormat="1" ht="18" x14ac:dyDescent="0.25">
      <c r="A67" s="210"/>
      <c r="B67" s="332"/>
      <c r="C67" s="333" t="s">
        <v>290</v>
      </c>
      <c r="D67" s="334" t="s">
        <v>342</v>
      </c>
      <c r="E67" s="335" t="s">
        <v>188</v>
      </c>
      <c r="F67" s="335" t="s">
        <v>183</v>
      </c>
      <c r="G67" s="335" t="s">
        <v>183</v>
      </c>
      <c r="H67" s="335" t="s">
        <v>183</v>
      </c>
      <c r="I67" s="335" t="s">
        <v>183</v>
      </c>
      <c r="J67" s="335" t="s">
        <v>183</v>
      </c>
      <c r="K67" s="335" t="s">
        <v>183</v>
      </c>
      <c r="L67" s="335" t="s">
        <v>183</v>
      </c>
      <c r="M67" s="336">
        <v>19.95</v>
      </c>
      <c r="N67" s="337">
        <v>19.95</v>
      </c>
      <c r="O67" s="338" t="s">
        <v>201</v>
      </c>
      <c r="P67" s="204"/>
      <c r="Q67" s="204"/>
      <c r="R67" s="186" t="s">
        <v>4</v>
      </c>
      <c r="S67" s="70"/>
      <c r="T67" s="70"/>
      <c r="U67" s="70"/>
      <c r="V67" s="70"/>
      <c r="W67" s="70"/>
      <c r="X67" s="93"/>
      <c r="Y67" s="70"/>
      <c r="Z67" s="70"/>
      <c r="AA67" s="105"/>
      <c r="AB67" s="106"/>
      <c r="AC67" s="80"/>
      <c r="AD67" s="66"/>
      <c r="AE67" s="66"/>
      <c r="AF67" s="66"/>
      <c r="AG67" s="66"/>
      <c r="AH67" s="374"/>
      <c r="AI67" s="66"/>
      <c r="AJ67" s="374"/>
      <c r="AK67" s="66"/>
      <c r="AL67" s="66"/>
      <c r="AM67" s="66"/>
      <c r="AN67" s="66"/>
      <c r="AO67" s="66"/>
      <c r="AP67" s="66"/>
      <c r="AQ67" s="66"/>
      <c r="AR67" s="66"/>
      <c r="AS67" s="106"/>
      <c r="AT67" s="66"/>
      <c r="AU67" s="70"/>
      <c r="AV67" s="70"/>
      <c r="AW67" s="105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80"/>
      <c r="CP67" s="70"/>
      <c r="CQ67" s="210"/>
      <c r="CR67" s="210"/>
      <c r="CS67" s="210"/>
      <c r="CT67" s="210"/>
      <c r="CU67" s="210"/>
      <c r="CV67" s="210"/>
      <c r="CW67" s="210"/>
      <c r="CX67" s="210"/>
      <c r="CY67" s="210"/>
      <c r="CZ67" s="210"/>
      <c r="DA67" s="210"/>
      <c r="DB67" s="210"/>
      <c r="DC67" s="210"/>
      <c r="DD67" s="210"/>
      <c r="DE67" s="210"/>
      <c r="DF67" s="210"/>
      <c r="DG67" s="210"/>
      <c r="DH67" s="210"/>
      <c r="DI67" s="210"/>
    </row>
    <row r="68" spans="1:113" s="88" customFormat="1" ht="18" x14ac:dyDescent="0.25">
      <c r="A68" s="210"/>
      <c r="B68" s="332"/>
      <c r="C68" s="333" t="s">
        <v>291</v>
      </c>
      <c r="D68" s="334" t="s">
        <v>342</v>
      </c>
      <c r="E68" s="335" t="s">
        <v>188</v>
      </c>
      <c r="F68" s="335" t="s">
        <v>183</v>
      </c>
      <c r="G68" s="335" t="s">
        <v>183</v>
      </c>
      <c r="H68" s="335" t="s">
        <v>183</v>
      </c>
      <c r="I68" s="335" t="s">
        <v>183</v>
      </c>
      <c r="J68" s="335" t="s">
        <v>183</v>
      </c>
      <c r="K68" s="335" t="s">
        <v>183</v>
      </c>
      <c r="L68" s="335" t="s">
        <v>183</v>
      </c>
      <c r="M68" s="336">
        <v>19.95</v>
      </c>
      <c r="N68" s="337">
        <v>19.95</v>
      </c>
      <c r="O68" s="338" t="s">
        <v>201</v>
      </c>
      <c r="P68" s="204"/>
      <c r="Q68" s="204"/>
      <c r="R68" s="186" t="s">
        <v>4</v>
      </c>
      <c r="S68" s="70"/>
      <c r="T68" s="70"/>
      <c r="U68" s="70"/>
      <c r="V68" s="70"/>
      <c r="W68" s="70"/>
      <c r="X68" s="93"/>
      <c r="Y68" s="70"/>
      <c r="Z68" s="70"/>
      <c r="AA68" s="105"/>
      <c r="AB68" s="106"/>
      <c r="AC68" s="80"/>
      <c r="AD68" s="66"/>
      <c r="AE68" s="66"/>
      <c r="AF68" s="66"/>
      <c r="AG68" s="66"/>
      <c r="AH68" s="374"/>
      <c r="AI68" s="66"/>
      <c r="AJ68" s="374"/>
      <c r="AK68" s="66"/>
      <c r="AL68" s="66"/>
      <c r="AM68" s="66"/>
      <c r="AN68" s="66"/>
      <c r="AO68" s="66"/>
      <c r="AP68" s="66"/>
      <c r="AQ68" s="66"/>
      <c r="AR68" s="66"/>
      <c r="AS68" s="106"/>
      <c r="AT68" s="66"/>
      <c r="AU68" s="70"/>
      <c r="AV68" s="70"/>
      <c r="AW68" s="105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80"/>
      <c r="CP68" s="70"/>
      <c r="CQ68" s="210"/>
      <c r="CR68" s="210"/>
      <c r="CS68" s="210"/>
      <c r="CT68" s="210"/>
      <c r="CU68" s="210"/>
      <c r="CV68" s="210"/>
      <c r="CW68" s="210"/>
      <c r="CX68" s="210"/>
      <c r="CY68" s="210"/>
      <c r="CZ68" s="210"/>
      <c r="DA68" s="210"/>
      <c r="DB68" s="210"/>
      <c r="DC68" s="210"/>
      <c r="DD68" s="210"/>
      <c r="DE68" s="210"/>
      <c r="DF68" s="210"/>
      <c r="DG68" s="210"/>
      <c r="DH68" s="210"/>
      <c r="DI68" s="210"/>
    </row>
    <row r="69" spans="1:113" s="88" customFormat="1" ht="18" x14ac:dyDescent="0.25">
      <c r="A69" s="210"/>
      <c r="B69" s="332"/>
      <c r="C69" s="333" t="s">
        <v>292</v>
      </c>
      <c r="D69" s="334" t="s">
        <v>342</v>
      </c>
      <c r="E69" s="335" t="s">
        <v>188</v>
      </c>
      <c r="F69" s="335" t="s">
        <v>183</v>
      </c>
      <c r="G69" s="335" t="s">
        <v>183</v>
      </c>
      <c r="H69" s="335" t="s">
        <v>183</v>
      </c>
      <c r="I69" s="335" t="s">
        <v>183</v>
      </c>
      <c r="J69" s="335" t="s">
        <v>183</v>
      </c>
      <c r="K69" s="335" t="s">
        <v>183</v>
      </c>
      <c r="L69" s="335" t="s">
        <v>183</v>
      </c>
      <c r="M69" s="336">
        <v>19.95</v>
      </c>
      <c r="N69" s="337">
        <v>19.95</v>
      </c>
      <c r="O69" s="338" t="s">
        <v>201</v>
      </c>
      <c r="P69" s="204"/>
      <c r="Q69" s="204"/>
      <c r="R69" s="186" t="s">
        <v>4</v>
      </c>
      <c r="S69" s="70"/>
      <c r="T69" s="70"/>
      <c r="U69" s="70"/>
      <c r="V69" s="70"/>
      <c r="W69" s="70"/>
      <c r="X69" s="93"/>
      <c r="Y69" s="70"/>
      <c r="Z69" s="70"/>
      <c r="AA69" s="105"/>
      <c r="AB69" s="106"/>
      <c r="AC69" s="80"/>
      <c r="AD69" s="66"/>
      <c r="AE69" s="66"/>
      <c r="AF69" s="66"/>
      <c r="AG69" s="66"/>
      <c r="AH69" s="374"/>
      <c r="AI69" s="66"/>
      <c r="AJ69" s="374"/>
      <c r="AK69" s="66"/>
      <c r="AL69" s="66"/>
      <c r="AM69" s="66"/>
      <c r="AN69" s="66"/>
      <c r="AO69" s="66"/>
      <c r="AP69" s="66"/>
      <c r="AQ69" s="66"/>
      <c r="AR69" s="66"/>
      <c r="AS69" s="106"/>
      <c r="AT69" s="66"/>
      <c r="AU69" s="70"/>
      <c r="AV69" s="70"/>
      <c r="AW69" s="105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80"/>
      <c r="CP69" s="70"/>
      <c r="CQ69" s="210"/>
      <c r="CR69" s="210"/>
      <c r="CS69" s="210"/>
      <c r="CT69" s="210"/>
      <c r="CU69" s="210"/>
      <c r="CV69" s="210"/>
      <c r="CW69" s="210"/>
      <c r="CX69" s="210"/>
      <c r="CY69" s="210"/>
      <c r="CZ69" s="210"/>
      <c r="DA69" s="210"/>
      <c r="DB69" s="210"/>
      <c r="DC69" s="210"/>
      <c r="DD69" s="210"/>
      <c r="DE69" s="210"/>
      <c r="DF69" s="210"/>
      <c r="DG69" s="210"/>
      <c r="DH69" s="210"/>
      <c r="DI69" s="210"/>
    </row>
    <row r="70" spans="1:113" s="88" customFormat="1" ht="18" x14ac:dyDescent="0.25">
      <c r="A70" s="210"/>
      <c r="B70" s="332"/>
      <c r="C70" s="333" t="s">
        <v>293</v>
      </c>
      <c r="D70" s="334" t="s">
        <v>164</v>
      </c>
      <c r="E70" s="335" t="s">
        <v>188</v>
      </c>
      <c r="F70" s="335" t="s">
        <v>183</v>
      </c>
      <c r="G70" s="335" t="s">
        <v>183</v>
      </c>
      <c r="H70" s="335" t="s">
        <v>183</v>
      </c>
      <c r="I70" s="335" t="s">
        <v>183</v>
      </c>
      <c r="J70" s="335" t="s">
        <v>183</v>
      </c>
      <c r="K70" s="335" t="s">
        <v>183</v>
      </c>
      <c r="L70" s="335" t="s">
        <v>183</v>
      </c>
      <c r="M70" s="336">
        <v>24.95</v>
      </c>
      <c r="N70" s="337">
        <v>24.95</v>
      </c>
      <c r="O70" s="338" t="s">
        <v>201</v>
      </c>
      <c r="P70" s="204"/>
      <c r="Q70" s="204"/>
      <c r="R70" s="186" t="s">
        <v>4</v>
      </c>
      <c r="S70" s="70"/>
      <c r="T70" s="70"/>
      <c r="U70" s="70"/>
      <c r="V70" s="70"/>
      <c r="W70" s="70"/>
      <c r="X70" s="93"/>
      <c r="Y70" s="70"/>
      <c r="Z70" s="70"/>
      <c r="AA70" s="105"/>
      <c r="AB70" s="106"/>
      <c r="AC70" s="80"/>
      <c r="AD70" s="66"/>
      <c r="AE70" s="66"/>
      <c r="AF70" s="66"/>
      <c r="AG70" s="66"/>
      <c r="AH70" s="374"/>
      <c r="AI70" s="66"/>
      <c r="AJ70" s="374"/>
      <c r="AK70" s="66"/>
      <c r="AL70" s="66"/>
      <c r="AM70" s="66"/>
      <c r="AN70" s="66"/>
      <c r="AO70" s="66"/>
      <c r="AP70" s="66"/>
      <c r="AQ70" s="66"/>
      <c r="AR70" s="66"/>
      <c r="AS70" s="106"/>
      <c r="AT70" s="66"/>
      <c r="AU70" s="70"/>
      <c r="AV70" s="70"/>
      <c r="AW70" s="105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80"/>
      <c r="CP70" s="70"/>
      <c r="CQ70" s="210"/>
      <c r="CR70" s="210"/>
      <c r="CS70" s="210"/>
      <c r="CT70" s="210"/>
      <c r="CU70" s="210"/>
      <c r="CV70" s="210"/>
      <c r="CW70" s="210"/>
      <c r="CX70" s="210"/>
      <c r="CY70" s="210"/>
      <c r="CZ70" s="210"/>
      <c r="DA70" s="210"/>
      <c r="DB70" s="210"/>
      <c r="DC70" s="210"/>
      <c r="DD70" s="210"/>
      <c r="DE70" s="210"/>
      <c r="DF70" s="210"/>
      <c r="DG70" s="210"/>
      <c r="DH70" s="210"/>
      <c r="DI70" s="210"/>
    </row>
    <row r="71" spans="1:113" s="88" customFormat="1" ht="18" x14ac:dyDescent="0.25">
      <c r="A71" s="210"/>
      <c r="B71" s="332"/>
      <c r="C71" s="333" t="s">
        <v>294</v>
      </c>
      <c r="D71" s="334" t="s">
        <v>164</v>
      </c>
      <c r="E71" s="335" t="s">
        <v>188</v>
      </c>
      <c r="F71" s="335" t="s">
        <v>183</v>
      </c>
      <c r="G71" s="335" t="s">
        <v>183</v>
      </c>
      <c r="H71" s="335" t="s">
        <v>183</v>
      </c>
      <c r="I71" s="335" t="s">
        <v>183</v>
      </c>
      <c r="J71" s="335" t="s">
        <v>183</v>
      </c>
      <c r="K71" s="335" t="s">
        <v>183</v>
      </c>
      <c r="L71" s="335" t="s">
        <v>183</v>
      </c>
      <c r="M71" s="336">
        <v>24.95</v>
      </c>
      <c r="N71" s="337">
        <v>24.95</v>
      </c>
      <c r="O71" s="338" t="s">
        <v>201</v>
      </c>
      <c r="P71" s="204"/>
      <c r="Q71" s="204"/>
      <c r="R71" s="186" t="s">
        <v>4</v>
      </c>
      <c r="S71" s="70"/>
      <c r="T71" s="70"/>
      <c r="U71" s="70"/>
      <c r="V71" s="70"/>
      <c r="W71" s="70"/>
      <c r="X71" s="93"/>
      <c r="Y71" s="70"/>
      <c r="Z71" s="70"/>
      <c r="AA71" s="105"/>
      <c r="AB71" s="106"/>
      <c r="AC71" s="80"/>
      <c r="AD71" s="66"/>
      <c r="AE71" s="66"/>
      <c r="AF71" s="66"/>
      <c r="AG71" s="66"/>
      <c r="AH71" s="374"/>
      <c r="AI71" s="66"/>
      <c r="AJ71" s="374"/>
      <c r="AK71" s="66"/>
      <c r="AL71" s="66"/>
      <c r="AM71" s="66"/>
      <c r="AN71" s="66"/>
      <c r="AO71" s="66"/>
      <c r="AP71" s="66"/>
      <c r="AQ71" s="66"/>
      <c r="AR71" s="66"/>
      <c r="AS71" s="106"/>
      <c r="AT71" s="66"/>
      <c r="AU71" s="70"/>
      <c r="AV71" s="70"/>
      <c r="AW71" s="105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80"/>
      <c r="CP71" s="70"/>
      <c r="CQ71" s="210"/>
      <c r="CR71" s="210"/>
      <c r="CS71" s="210"/>
      <c r="CT71" s="210"/>
      <c r="CU71" s="210"/>
      <c r="CV71" s="210"/>
      <c r="CW71" s="210"/>
      <c r="CX71" s="210"/>
      <c r="CY71" s="210"/>
      <c r="CZ71" s="210"/>
      <c r="DA71" s="210"/>
      <c r="DB71" s="210"/>
      <c r="DC71" s="210"/>
      <c r="DD71" s="210"/>
      <c r="DE71" s="210"/>
      <c r="DF71" s="210"/>
      <c r="DG71" s="210"/>
      <c r="DH71" s="210"/>
      <c r="DI71" s="210"/>
    </row>
    <row r="72" spans="1:113" s="88" customFormat="1" ht="18" x14ac:dyDescent="0.25">
      <c r="A72" s="210"/>
      <c r="B72" s="332"/>
      <c r="C72" s="333" t="s">
        <v>340</v>
      </c>
      <c r="D72" s="334" t="s">
        <v>253</v>
      </c>
      <c r="E72" s="335" t="s">
        <v>188</v>
      </c>
      <c r="F72" s="197" t="s">
        <v>4</v>
      </c>
      <c r="G72" s="335" t="s">
        <v>188</v>
      </c>
      <c r="H72" s="335" t="s">
        <v>183</v>
      </c>
      <c r="I72" s="335" t="s">
        <v>188</v>
      </c>
      <c r="J72" s="335" t="s">
        <v>188</v>
      </c>
      <c r="K72" s="335" t="s">
        <v>188</v>
      </c>
      <c r="L72" s="335" t="s">
        <v>188</v>
      </c>
      <c r="M72" s="336">
        <v>29.95</v>
      </c>
      <c r="N72" s="337">
        <v>29.95</v>
      </c>
      <c r="O72" s="338" t="s">
        <v>201</v>
      </c>
      <c r="P72" s="204"/>
      <c r="Q72" s="204"/>
      <c r="R72" s="186" t="s">
        <v>4</v>
      </c>
      <c r="S72" s="70"/>
      <c r="T72" s="70"/>
      <c r="U72" s="70"/>
      <c r="V72" s="70"/>
      <c r="W72" s="70"/>
      <c r="X72" s="93"/>
      <c r="Y72" s="70"/>
      <c r="Z72" s="70"/>
      <c r="AA72" s="105"/>
      <c r="AB72" s="106"/>
      <c r="AC72" s="80"/>
      <c r="AD72" s="66"/>
      <c r="AE72" s="66"/>
      <c r="AF72" s="66"/>
      <c r="AG72" s="66"/>
      <c r="AH72" s="374"/>
      <c r="AI72" s="66"/>
      <c r="AJ72" s="374"/>
      <c r="AK72" s="66"/>
      <c r="AL72" s="66"/>
      <c r="AM72" s="66"/>
      <c r="AN72" s="66"/>
      <c r="AO72" s="66"/>
      <c r="AP72" s="66"/>
      <c r="AQ72" s="66"/>
      <c r="AR72" s="66"/>
      <c r="AS72" s="106"/>
      <c r="AT72" s="66"/>
      <c r="AU72" s="70"/>
      <c r="AV72" s="70"/>
      <c r="AW72" s="105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80"/>
      <c r="CP72" s="70"/>
      <c r="CQ72" s="210"/>
      <c r="CR72" s="210"/>
      <c r="CS72" s="210"/>
      <c r="CT72" s="210"/>
      <c r="CU72" s="210"/>
      <c r="CV72" s="210"/>
      <c r="CW72" s="210"/>
      <c r="CX72" s="210"/>
      <c r="CY72" s="210"/>
      <c r="CZ72" s="210"/>
      <c r="DA72" s="210"/>
      <c r="DB72" s="210"/>
      <c r="DC72" s="210"/>
      <c r="DD72" s="210"/>
      <c r="DE72" s="210"/>
      <c r="DF72" s="210"/>
      <c r="DG72" s="210"/>
      <c r="DH72" s="210"/>
      <c r="DI72" s="210"/>
    </row>
    <row r="73" spans="1:113" s="88" customFormat="1" ht="18" x14ac:dyDescent="0.25">
      <c r="A73" s="210"/>
      <c r="B73" s="332"/>
      <c r="C73" s="333" t="s">
        <v>295</v>
      </c>
      <c r="D73" s="334" t="s">
        <v>343</v>
      </c>
      <c r="E73" s="335" t="s">
        <v>188</v>
      </c>
      <c r="F73" s="335" t="s">
        <v>183</v>
      </c>
      <c r="G73" s="335" t="s">
        <v>183</v>
      </c>
      <c r="H73" s="335" t="s">
        <v>183</v>
      </c>
      <c r="I73" s="335" t="s">
        <v>183</v>
      </c>
      <c r="J73" s="335" t="s">
        <v>183</v>
      </c>
      <c r="K73" s="335" t="s">
        <v>183</v>
      </c>
      <c r="L73" s="335" t="s">
        <v>183</v>
      </c>
      <c r="M73" s="336">
        <v>39.950000000000003</v>
      </c>
      <c r="N73" s="337">
        <v>39.950000000000003</v>
      </c>
      <c r="O73" s="338" t="s">
        <v>201</v>
      </c>
      <c r="P73" s="204"/>
      <c r="Q73" s="204"/>
      <c r="R73" s="186" t="s">
        <v>4</v>
      </c>
      <c r="S73" s="70"/>
      <c r="T73" s="70"/>
      <c r="U73" s="70"/>
      <c r="V73" s="70"/>
      <c r="W73" s="70"/>
      <c r="X73" s="93"/>
      <c r="Y73" s="70"/>
      <c r="Z73" s="70"/>
      <c r="AA73" s="105"/>
      <c r="AB73" s="106"/>
      <c r="AC73" s="80"/>
      <c r="AD73" s="66"/>
      <c r="AE73" s="66"/>
      <c r="AF73" s="66"/>
      <c r="AG73" s="66"/>
      <c r="AH73" s="374"/>
      <c r="AI73" s="66"/>
      <c r="AJ73" s="374"/>
      <c r="AK73" s="66"/>
      <c r="AL73" s="66"/>
      <c r="AM73" s="66"/>
      <c r="AN73" s="66"/>
      <c r="AO73" s="66"/>
      <c r="AP73" s="66"/>
      <c r="AQ73" s="66"/>
      <c r="AR73" s="66"/>
      <c r="AS73" s="106"/>
      <c r="AT73" s="66"/>
      <c r="AU73" s="70"/>
      <c r="AV73" s="70"/>
      <c r="AW73" s="105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80"/>
      <c r="CP73" s="70"/>
      <c r="CQ73" s="210"/>
      <c r="CR73" s="210"/>
      <c r="CS73" s="210"/>
      <c r="CT73" s="210"/>
      <c r="CU73" s="210"/>
      <c r="CV73" s="210"/>
      <c r="CW73" s="210"/>
      <c r="CX73" s="210"/>
      <c r="CY73" s="210"/>
      <c r="CZ73" s="210"/>
      <c r="DA73" s="210"/>
      <c r="DB73" s="210"/>
      <c r="DC73" s="210"/>
      <c r="DD73" s="210"/>
      <c r="DE73" s="210"/>
      <c r="DF73" s="210"/>
      <c r="DG73" s="210"/>
      <c r="DH73" s="210"/>
      <c r="DI73" s="210"/>
    </row>
    <row r="74" spans="1:113" s="88" customFormat="1" ht="18" x14ac:dyDescent="0.25">
      <c r="A74" s="210"/>
      <c r="B74" s="332"/>
      <c r="C74" s="333" t="s">
        <v>296</v>
      </c>
      <c r="D74" s="334" t="s">
        <v>343</v>
      </c>
      <c r="E74" s="335" t="s">
        <v>188</v>
      </c>
      <c r="F74" s="335" t="s">
        <v>183</v>
      </c>
      <c r="G74" s="335" t="s">
        <v>183</v>
      </c>
      <c r="H74" s="335" t="s">
        <v>183</v>
      </c>
      <c r="I74" s="335" t="s">
        <v>183</v>
      </c>
      <c r="J74" s="335" t="s">
        <v>183</v>
      </c>
      <c r="K74" s="335" t="s">
        <v>183</v>
      </c>
      <c r="L74" s="335" t="s">
        <v>183</v>
      </c>
      <c r="M74" s="336">
        <v>39.950000000000003</v>
      </c>
      <c r="N74" s="337">
        <v>39.950000000000003</v>
      </c>
      <c r="O74" s="338" t="s">
        <v>201</v>
      </c>
      <c r="P74" s="204"/>
      <c r="Q74" s="204"/>
      <c r="R74" s="186" t="s">
        <v>4</v>
      </c>
      <c r="S74" s="70"/>
      <c r="T74" s="70"/>
      <c r="U74" s="70"/>
      <c r="V74" s="70"/>
      <c r="W74" s="70"/>
      <c r="X74" s="93"/>
      <c r="Y74" s="70"/>
      <c r="Z74" s="70"/>
      <c r="AA74" s="105"/>
      <c r="AB74" s="106"/>
      <c r="AC74" s="80"/>
      <c r="AD74" s="66"/>
      <c r="AE74" s="66"/>
      <c r="AF74" s="66"/>
      <c r="AG74" s="66"/>
      <c r="AH74" s="374"/>
      <c r="AI74" s="66"/>
      <c r="AJ74" s="374"/>
      <c r="AK74" s="66"/>
      <c r="AL74" s="66"/>
      <c r="AM74" s="66"/>
      <c r="AN74" s="66"/>
      <c r="AO74" s="66"/>
      <c r="AP74" s="66"/>
      <c r="AQ74" s="66"/>
      <c r="AR74" s="66"/>
      <c r="AS74" s="106"/>
      <c r="AT74" s="66"/>
      <c r="AU74" s="70"/>
      <c r="AV74" s="70"/>
      <c r="AW74" s="105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80"/>
      <c r="CP74" s="70"/>
      <c r="CQ74" s="210"/>
      <c r="CR74" s="210"/>
      <c r="CS74" s="210"/>
      <c r="CT74" s="210"/>
      <c r="CU74" s="210"/>
      <c r="CV74" s="210"/>
      <c r="CW74" s="210"/>
      <c r="CX74" s="210"/>
      <c r="CY74" s="210"/>
      <c r="CZ74" s="210"/>
      <c r="DA74" s="210"/>
      <c r="DB74" s="210"/>
      <c r="DC74" s="210"/>
      <c r="DD74" s="210"/>
      <c r="DE74" s="210"/>
      <c r="DF74" s="210"/>
      <c r="DG74" s="210"/>
      <c r="DH74" s="210"/>
      <c r="DI74" s="210"/>
    </row>
    <row r="75" spans="1:113" s="88" customFormat="1" ht="18" x14ac:dyDescent="0.25">
      <c r="A75" s="210"/>
      <c r="B75" s="332"/>
      <c r="C75" s="333" t="s">
        <v>297</v>
      </c>
      <c r="D75" s="334" t="s">
        <v>344</v>
      </c>
      <c r="E75" s="335" t="s">
        <v>188</v>
      </c>
      <c r="F75" s="335" t="s">
        <v>183</v>
      </c>
      <c r="G75" s="335" t="s">
        <v>183</v>
      </c>
      <c r="H75" s="335" t="s">
        <v>183</v>
      </c>
      <c r="I75" s="335" t="s">
        <v>183</v>
      </c>
      <c r="J75" s="335" t="s">
        <v>183</v>
      </c>
      <c r="K75" s="335" t="s">
        <v>183</v>
      </c>
      <c r="L75" s="335" t="s">
        <v>183</v>
      </c>
      <c r="M75" s="336">
        <v>5</v>
      </c>
      <c r="N75" s="337">
        <v>9.9499999999999993</v>
      </c>
      <c r="O75" s="338" t="s">
        <v>372</v>
      </c>
      <c r="P75" s="204"/>
      <c r="Q75" s="204"/>
      <c r="R75" s="186" t="s">
        <v>4</v>
      </c>
      <c r="S75" s="70"/>
      <c r="T75" s="70"/>
      <c r="U75" s="70"/>
      <c r="V75" s="70"/>
      <c r="W75" s="70"/>
      <c r="X75" s="93"/>
      <c r="Y75" s="70"/>
      <c r="Z75" s="70"/>
      <c r="AA75" s="105"/>
      <c r="AB75" s="106"/>
      <c r="AC75" s="80"/>
      <c r="AD75" s="66"/>
      <c r="AE75" s="66"/>
      <c r="AF75" s="66"/>
      <c r="AG75" s="66"/>
      <c r="AH75" s="374"/>
      <c r="AI75" s="66"/>
      <c r="AJ75" s="374"/>
      <c r="AK75" s="66"/>
      <c r="AL75" s="66"/>
      <c r="AM75" s="66"/>
      <c r="AN75" s="66"/>
      <c r="AO75" s="66"/>
      <c r="AP75" s="66"/>
      <c r="AQ75" s="66"/>
      <c r="AR75" s="66"/>
      <c r="AS75" s="106"/>
      <c r="AT75" s="66"/>
      <c r="AU75" s="70"/>
      <c r="AV75" s="70"/>
      <c r="AW75" s="105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80"/>
      <c r="CP75" s="70"/>
      <c r="CQ75" s="210"/>
      <c r="CR75" s="210"/>
      <c r="CS75" s="210"/>
      <c r="CT75" s="210"/>
      <c r="CU75" s="210"/>
      <c r="CV75" s="210"/>
      <c r="CW75" s="210"/>
      <c r="CX75" s="210"/>
      <c r="CY75" s="210"/>
      <c r="CZ75" s="210"/>
      <c r="DA75" s="210"/>
      <c r="DB75" s="210"/>
      <c r="DC75" s="210"/>
      <c r="DD75" s="210"/>
      <c r="DE75" s="210"/>
      <c r="DF75" s="210"/>
      <c r="DG75" s="210"/>
      <c r="DH75" s="210"/>
      <c r="DI75" s="210"/>
    </row>
    <row r="76" spans="1:113" s="88" customFormat="1" ht="18" x14ac:dyDescent="0.25">
      <c r="A76" s="210"/>
      <c r="B76" s="332"/>
      <c r="C76" s="333" t="s">
        <v>305</v>
      </c>
      <c r="D76" s="334" t="s">
        <v>164</v>
      </c>
      <c r="E76" s="335" t="s">
        <v>188</v>
      </c>
      <c r="F76" s="197" t="s">
        <v>4</v>
      </c>
      <c r="G76" s="335" t="s">
        <v>183</v>
      </c>
      <c r="H76" s="335" t="s">
        <v>183</v>
      </c>
      <c r="I76" s="335" t="s">
        <v>183</v>
      </c>
      <c r="J76" s="335" t="s">
        <v>183</v>
      </c>
      <c r="K76" s="335" t="s">
        <v>183</v>
      </c>
      <c r="L76" s="335" t="s">
        <v>183</v>
      </c>
      <c r="M76" s="336">
        <v>5</v>
      </c>
      <c r="N76" s="337">
        <v>14.95</v>
      </c>
      <c r="O76" s="338" t="s">
        <v>354</v>
      </c>
      <c r="P76" s="204"/>
      <c r="Q76" s="204"/>
      <c r="R76" s="186" t="s">
        <v>4</v>
      </c>
      <c r="S76" s="70"/>
      <c r="T76" s="70"/>
      <c r="U76" s="70"/>
      <c r="V76" s="70"/>
      <c r="W76" s="70"/>
      <c r="X76" s="93"/>
      <c r="Y76" s="70"/>
      <c r="Z76" s="70"/>
      <c r="AA76" s="105"/>
      <c r="AB76" s="106"/>
      <c r="AC76" s="80"/>
      <c r="AD76" s="66"/>
      <c r="AE76" s="66"/>
      <c r="AF76" s="66"/>
      <c r="AG76" s="66"/>
      <c r="AH76" s="374"/>
      <c r="AI76" s="66"/>
      <c r="AJ76" s="374"/>
      <c r="AK76" s="66"/>
      <c r="AL76" s="66"/>
      <c r="AM76" s="66"/>
      <c r="AN76" s="66"/>
      <c r="AO76" s="66"/>
      <c r="AP76" s="66"/>
      <c r="AQ76" s="66"/>
      <c r="AR76" s="66"/>
      <c r="AS76" s="106"/>
      <c r="AT76" s="66"/>
      <c r="AU76" s="70"/>
      <c r="AV76" s="70"/>
      <c r="AW76" s="105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80"/>
      <c r="CP76" s="70"/>
      <c r="CQ76" s="210"/>
      <c r="CR76" s="210"/>
      <c r="CS76" s="210"/>
      <c r="CT76" s="210"/>
      <c r="CU76" s="210"/>
      <c r="CV76" s="210"/>
      <c r="CW76" s="210"/>
      <c r="CX76" s="210"/>
      <c r="CY76" s="210"/>
      <c r="CZ76" s="210"/>
      <c r="DA76" s="210"/>
      <c r="DB76" s="210"/>
      <c r="DC76" s="210"/>
      <c r="DD76" s="210"/>
      <c r="DE76" s="210"/>
      <c r="DF76" s="210"/>
      <c r="DG76" s="210"/>
      <c r="DH76" s="210"/>
      <c r="DI76" s="210"/>
    </row>
    <row r="77" spans="1:113" s="88" customFormat="1" ht="18" x14ac:dyDescent="0.25">
      <c r="A77" s="210"/>
      <c r="B77" s="332"/>
      <c r="C77" s="333" t="s">
        <v>346</v>
      </c>
      <c r="D77" s="334" t="s">
        <v>345</v>
      </c>
      <c r="E77" s="335" t="s">
        <v>188</v>
      </c>
      <c r="F77" s="335" t="s">
        <v>183</v>
      </c>
      <c r="G77" s="335" t="s">
        <v>183</v>
      </c>
      <c r="H77" s="335" t="s">
        <v>183</v>
      </c>
      <c r="I77" s="335" t="s">
        <v>183</v>
      </c>
      <c r="J77" s="335" t="s">
        <v>183</v>
      </c>
      <c r="K77" s="335" t="s">
        <v>183</v>
      </c>
      <c r="L77" s="335" t="s">
        <v>183</v>
      </c>
      <c r="M77" s="336">
        <v>7.5</v>
      </c>
      <c r="N77" s="337">
        <v>14.95</v>
      </c>
      <c r="O77" s="338" t="s">
        <v>372</v>
      </c>
      <c r="P77" s="204"/>
      <c r="Q77" s="204"/>
      <c r="R77" s="186" t="s">
        <v>4</v>
      </c>
      <c r="S77" s="70"/>
      <c r="T77" s="70"/>
      <c r="U77" s="70"/>
      <c r="V77" s="70"/>
      <c r="W77" s="70"/>
      <c r="X77" s="93"/>
      <c r="Y77" s="70"/>
      <c r="Z77" s="70"/>
      <c r="AA77" s="105"/>
      <c r="AB77" s="106"/>
      <c r="AC77" s="80"/>
      <c r="AD77" s="66"/>
      <c r="AE77" s="66"/>
      <c r="AF77" s="66"/>
      <c r="AG77" s="66"/>
      <c r="AH77" s="374"/>
      <c r="AI77" s="66"/>
      <c r="AJ77" s="374"/>
      <c r="AK77" s="66"/>
      <c r="AL77" s="66"/>
      <c r="AM77" s="66"/>
      <c r="AN77" s="66"/>
      <c r="AO77" s="66"/>
      <c r="AP77" s="66"/>
      <c r="AQ77" s="66"/>
      <c r="AR77" s="66"/>
      <c r="AS77" s="106"/>
      <c r="AT77" s="66"/>
      <c r="AU77" s="70"/>
      <c r="AV77" s="70"/>
      <c r="AW77" s="105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80"/>
      <c r="CP77" s="70"/>
      <c r="CQ77" s="210"/>
      <c r="CR77" s="210"/>
      <c r="CS77" s="210"/>
      <c r="CT77" s="210"/>
      <c r="CU77" s="210"/>
      <c r="CV77" s="210"/>
      <c r="CW77" s="210"/>
      <c r="CX77" s="210"/>
      <c r="CY77" s="210"/>
      <c r="CZ77" s="210"/>
      <c r="DA77" s="210"/>
      <c r="DB77" s="210"/>
      <c r="DC77" s="210"/>
      <c r="DD77" s="210"/>
      <c r="DE77" s="210"/>
      <c r="DF77" s="210"/>
      <c r="DG77" s="210"/>
      <c r="DH77" s="210"/>
      <c r="DI77" s="210"/>
    </row>
    <row r="78" spans="1:113" s="88" customFormat="1" ht="18" x14ac:dyDescent="0.25">
      <c r="A78" s="210"/>
      <c r="B78" s="332"/>
      <c r="C78" s="333" t="s">
        <v>298</v>
      </c>
      <c r="D78" s="334" t="s">
        <v>347</v>
      </c>
      <c r="E78" s="335" t="s">
        <v>188</v>
      </c>
      <c r="F78" s="335" t="s">
        <v>183</v>
      </c>
      <c r="G78" s="335" t="s">
        <v>183</v>
      </c>
      <c r="H78" s="335" t="s">
        <v>183</v>
      </c>
      <c r="I78" s="335" t="s">
        <v>183</v>
      </c>
      <c r="J78" s="335" t="s">
        <v>183</v>
      </c>
      <c r="K78" s="335" t="s">
        <v>183</v>
      </c>
      <c r="L78" s="335" t="s">
        <v>183</v>
      </c>
      <c r="M78" s="336">
        <v>8</v>
      </c>
      <c r="N78" s="337">
        <v>9.9499999999999993</v>
      </c>
      <c r="O78" s="338" t="s">
        <v>372</v>
      </c>
      <c r="P78" s="204"/>
      <c r="Q78" s="204"/>
      <c r="R78" s="186" t="s">
        <v>4</v>
      </c>
      <c r="S78" s="70"/>
      <c r="T78" s="70"/>
      <c r="U78" s="70"/>
      <c r="V78" s="70"/>
      <c r="W78" s="70"/>
      <c r="X78" s="93"/>
      <c r="Y78" s="70"/>
      <c r="Z78" s="70"/>
      <c r="AA78" s="105"/>
      <c r="AB78" s="106"/>
      <c r="AC78" s="80"/>
      <c r="AD78" s="66"/>
      <c r="AE78" s="66"/>
      <c r="AF78" s="66"/>
      <c r="AG78" s="66"/>
      <c r="AH78" s="374"/>
      <c r="AI78" s="66"/>
      <c r="AJ78" s="374"/>
      <c r="AK78" s="66"/>
      <c r="AL78" s="66"/>
      <c r="AM78" s="66"/>
      <c r="AN78" s="66"/>
      <c r="AO78" s="66"/>
      <c r="AP78" s="66"/>
      <c r="AQ78" s="66"/>
      <c r="AR78" s="66"/>
      <c r="AS78" s="106"/>
      <c r="AT78" s="66"/>
      <c r="AU78" s="70"/>
      <c r="AV78" s="70"/>
      <c r="AW78" s="105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80"/>
      <c r="CP78" s="70"/>
      <c r="CQ78" s="210"/>
      <c r="CR78" s="210"/>
      <c r="CS78" s="210"/>
      <c r="CT78" s="210"/>
      <c r="CU78" s="210"/>
      <c r="CV78" s="210"/>
      <c r="CW78" s="210"/>
      <c r="CX78" s="210"/>
      <c r="CY78" s="210"/>
      <c r="CZ78" s="210"/>
      <c r="DA78" s="210"/>
      <c r="DB78" s="210"/>
      <c r="DC78" s="210"/>
      <c r="DD78" s="210"/>
      <c r="DE78" s="210"/>
      <c r="DF78" s="210"/>
      <c r="DG78" s="210"/>
      <c r="DH78" s="210"/>
      <c r="DI78" s="210"/>
    </row>
    <row r="79" spans="1:113" s="88" customFormat="1" ht="18" x14ac:dyDescent="0.25">
      <c r="A79" s="210"/>
      <c r="B79" s="332"/>
      <c r="C79" s="333" t="s">
        <v>299</v>
      </c>
      <c r="D79" s="334" t="s">
        <v>348</v>
      </c>
      <c r="E79" s="335" t="s">
        <v>188</v>
      </c>
      <c r="F79" s="335" t="s">
        <v>183</v>
      </c>
      <c r="G79" s="335" t="s">
        <v>183</v>
      </c>
      <c r="H79" s="335" t="s">
        <v>183</v>
      </c>
      <c r="I79" s="335" t="s">
        <v>183</v>
      </c>
      <c r="J79" s="335" t="s">
        <v>183</v>
      </c>
      <c r="K79" s="335" t="s">
        <v>183</v>
      </c>
      <c r="L79" s="335" t="s">
        <v>183</v>
      </c>
      <c r="M79" s="336">
        <v>10</v>
      </c>
      <c r="N79" s="337">
        <v>17.95</v>
      </c>
      <c r="O79" s="338" t="s">
        <v>354</v>
      </c>
      <c r="P79" s="204"/>
      <c r="Q79" s="204"/>
      <c r="R79" s="186" t="s">
        <v>4</v>
      </c>
      <c r="S79" s="70"/>
      <c r="T79" s="70"/>
      <c r="U79" s="70"/>
      <c r="V79" s="70"/>
      <c r="W79" s="70"/>
      <c r="X79" s="93"/>
      <c r="Y79" s="70"/>
      <c r="Z79" s="70"/>
      <c r="AA79" s="105"/>
      <c r="AB79" s="106"/>
      <c r="AC79" s="80"/>
      <c r="AD79" s="66"/>
      <c r="AE79" s="66"/>
      <c r="AF79" s="66"/>
      <c r="AG79" s="66"/>
      <c r="AH79" s="374"/>
      <c r="AI79" s="66"/>
      <c r="AJ79" s="374"/>
      <c r="AK79" s="66"/>
      <c r="AL79" s="66"/>
      <c r="AM79" s="66"/>
      <c r="AN79" s="66"/>
      <c r="AO79" s="66"/>
      <c r="AP79" s="66"/>
      <c r="AQ79" s="66"/>
      <c r="AR79" s="66"/>
      <c r="AS79" s="106"/>
      <c r="AT79" s="66"/>
      <c r="AU79" s="70"/>
      <c r="AV79" s="70"/>
      <c r="AW79" s="105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80"/>
      <c r="CP79" s="70"/>
      <c r="CQ79" s="210"/>
      <c r="CR79" s="210"/>
      <c r="CS79" s="210"/>
      <c r="CT79" s="210"/>
      <c r="CU79" s="210"/>
      <c r="CV79" s="210"/>
      <c r="CW79" s="210"/>
      <c r="CX79" s="210"/>
      <c r="CY79" s="210"/>
      <c r="CZ79" s="210"/>
      <c r="DA79" s="210"/>
      <c r="DB79" s="210"/>
      <c r="DC79" s="210"/>
      <c r="DD79" s="210"/>
      <c r="DE79" s="210"/>
      <c r="DF79" s="210"/>
      <c r="DG79" s="210"/>
      <c r="DH79" s="210"/>
      <c r="DI79" s="210"/>
    </row>
    <row r="80" spans="1:113" s="88" customFormat="1" ht="18" x14ac:dyDescent="0.25">
      <c r="A80" s="210"/>
      <c r="B80" s="332"/>
      <c r="C80" s="333" t="s">
        <v>300</v>
      </c>
      <c r="D80" s="334" t="s">
        <v>349</v>
      </c>
      <c r="E80" s="335" t="s">
        <v>188</v>
      </c>
      <c r="F80" s="335" t="s">
        <v>183</v>
      </c>
      <c r="G80" s="335" t="s">
        <v>183</v>
      </c>
      <c r="H80" s="335" t="s">
        <v>183</v>
      </c>
      <c r="I80" s="335" t="s">
        <v>183</v>
      </c>
      <c r="J80" s="335" t="s">
        <v>183</v>
      </c>
      <c r="K80" s="335" t="s">
        <v>183</v>
      </c>
      <c r="L80" s="335" t="s">
        <v>183</v>
      </c>
      <c r="M80" s="336">
        <v>10</v>
      </c>
      <c r="N80" s="337">
        <v>17.95</v>
      </c>
      <c r="O80" s="338" t="s">
        <v>354</v>
      </c>
      <c r="P80" s="204"/>
      <c r="Q80" s="204"/>
      <c r="R80" s="186" t="s">
        <v>4</v>
      </c>
      <c r="S80" s="70"/>
      <c r="T80" s="70"/>
      <c r="U80" s="70"/>
      <c r="V80" s="70"/>
      <c r="W80" s="70"/>
      <c r="X80" s="93"/>
      <c r="Y80" s="70"/>
      <c r="Z80" s="70"/>
      <c r="AA80" s="105"/>
      <c r="AB80" s="106"/>
      <c r="AC80" s="80"/>
      <c r="AD80" s="66"/>
      <c r="AE80" s="66"/>
      <c r="AF80" s="66"/>
      <c r="AG80" s="66"/>
      <c r="AH80" s="374"/>
      <c r="AI80" s="66"/>
      <c r="AJ80" s="374"/>
      <c r="AK80" s="66"/>
      <c r="AL80" s="66"/>
      <c r="AM80" s="66"/>
      <c r="AN80" s="66"/>
      <c r="AO80" s="66"/>
      <c r="AP80" s="66"/>
      <c r="AQ80" s="66"/>
      <c r="AR80" s="66"/>
      <c r="AS80" s="106"/>
      <c r="AT80" s="66"/>
      <c r="AU80" s="70"/>
      <c r="AV80" s="70"/>
      <c r="AW80" s="105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80"/>
      <c r="CP80" s="70"/>
      <c r="CQ80" s="210"/>
      <c r="CR80" s="210"/>
      <c r="CS80" s="210"/>
      <c r="CT80" s="210"/>
      <c r="CU80" s="210"/>
      <c r="CV80" s="210"/>
      <c r="CW80" s="210"/>
      <c r="CX80" s="210"/>
      <c r="CY80" s="210"/>
      <c r="CZ80" s="210"/>
      <c r="DA80" s="210"/>
      <c r="DB80" s="210"/>
      <c r="DC80" s="210"/>
      <c r="DD80" s="210"/>
      <c r="DE80" s="210"/>
      <c r="DF80" s="210"/>
      <c r="DG80" s="210"/>
      <c r="DH80" s="210"/>
      <c r="DI80" s="210"/>
    </row>
    <row r="81" spans="1:113" s="88" customFormat="1" ht="18" x14ac:dyDescent="0.25">
      <c r="A81" s="210"/>
      <c r="B81" s="332"/>
      <c r="C81" s="333" t="s">
        <v>301</v>
      </c>
      <c r="D81" s="334" t="s">
        <v>348</v>
      </c>
      <c r="E81" s="335" t="s">
        <v>188</v>
      </c>
      <c r="F81" s="335" t="s">
        <v>183</v>
      </c>
      <c r="G81" s="335" t="s">
        <v>183</v>
      </c>
      <c r="H81" s="335" t="s">
        <v>183</v>
      </c>
      <c r="I81" s="335" t="s">
        <v>183</v>
      </c>
      <c r="J81" s="335" t="s">
        <v>183</v>
      </c>
      <c r="K81" s="335" t="s">
        <v>183</v>
      </c>
      <c r="L81" s="335" t="s">
        <v>183</v>
      </c>
      <c r="M81" s="336">
        <v>10</v>
      </c>
      <c r="N81" s="337">
        <v>19.95</v>
      </c>
      <c r="O81" s="338" t="s">
        <v>372</v>
      </c>
      <c r="P81" s="204"/>
      <c r="Q81" s="204"/>
      <c r="R81" s="186" t="s">
        <v>4</v>
      </c>
      <c r="S81" s="70"/>
      <c r="T81" s="70"/>
      <c r="U81" s="70"/>
      <c r="V81" s="70"/>
      <c r="W81" s="70"/>
      <c r="X81" s="93"/>
      <c r="Y81" s="70"/>
      <c r="Z81" s="70"/>
      <c r="AA81" s="105"/>
      <c r="AB81" s="106"/>
      <c r="AC81" s="80"/>
      <c r="AD81" s="66"/>
      <c r="AE81" s="66"/>
      <c r="AF81" s="66"/>
      <c r="AG81" s="66"/>
      <c r="AH81" s="374"/>
      <c r="AI81" s="66"/>
      <c r="AJ81" s="374"/>
      <c r="AK81" s="66"/>
      <c r="AL81" s="66"/>
      <c r="AM81" s="66"/>
      <c r="AN81" s="66"/>
      <c r="AO81" s="66"/>
      <c r="AP81" s="66"/>
      <c r="AQ81" s="66"/>
      <c r="AR81" s="66"/>
      <c r="AS81" s="106"/>
      <c r="AT81" s="66"/>
      <c r="AU81" s="70"/>
      <c r="AV81" s="70"/>
      <c r="AW81" s="105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80"/>
      <c r="CP81" s="70"/>
      <c r="CQ81" s="210"/>
      <c r="CR81" s="210"/>
      <c r="CS81" s="210"/>
      <c r="CT81" s="210"/>
      <c r="CU81" s="210"/>
      <c r="CV81" s="210"/>
      <c r="CW81" s="210"/>
      <c r="CX81" s="210"/>
      <c r="CY81" s="210"/>
      <c r="CZ81" s="210"/>
      <c r="DA81" s="210"/>
      <c r="DB81" s="210"/>
      <c r="DC81" s="210"/>
      <c r="DD81" s="210"/>
      <c r="DE81" s="210"/>
      <c r="DF81" s="210"/>
      <c r="DG81" s="210"/>
      <c r="DH81" s="210"/>
      <c r="DI81" s="210"/>
    </row>
    <row r="82" spans="1:113" s="88" customFormat="1" ht="18" x14ac:dyDescent="0.25">
      <c r="A82" s="210"/>
      <c r="B82" s="332"/>
      <c r="C82" s="333" t="s">
        <v>302</v>
      </c>
      <c r="D82" s="334" t="s">
        <v>258</v>
      </c>
      <c r="E82" s="335" t="s">
        <v>188</v>
      </c>
      <c r="F82" s="335" t="s">
        <v>183</v>
      </c>
      <c r="G82" s="335" t="s">
        <v>183</v>
      </c>
      <c r="H82" s="335" t="s">
        <v>183</v>
      </c>
      <c r="I82" s="335" t="s">
        <v>183</v>
      </c>
      <c r="J82" s="335" t="s">
        <v>183</v>
      </c>
      <c r="K82" s="335" t="s">
        <v>183</v>
      </c>
      <c r="L82" s="335" t="s">
        <v>183</v>
      </c>
      <c r="M82" s="336">
        <v>10</v>
      </c>
      <c r="N82" s="337">
        <v>19.95</v>
      </c>
      <c r="O82" s="338" t="s">
        <v>354</v>
      </c>
      <c r="P82" s="204"/>
      <c r="Q82" s="204"/>
      <c r="R82" s="186" t="s">
        <v>4</v>
      </c>
      <c r="S82" s="70"/>
      <c r="T82" s="70"/>
      <c r="U82" s="70"/>
      <c r="V82" s="70"/>
      <c r="W82" s="70"/>
      <c r="X82" s="93"/>
      <c r="Y82" s="70"/>
      <c r="Z82" s="70"/>
      <c r="AA82" s="105"/>
      <c r="AB82" s="106"/>
      <c r="AC82" s="80"/>
      <c r="AD82" s="66"/>
      <c r="AE82" s="66"/>
      <c r="AF82" s="66"/>
      <c r="AG82" s="66"/>
      <c r="AH82" s="374"/>
      <c r="AI82" s="66"/>
      <c r="AJ82" s="374"/>
      <c r="AK82" s="66"/>
      <c r="AL82" s="66"/>
      <c r="AM82" s="66"/>
      <c r="AN82" s="66"/>
      <c r="AO82" s="66"/>
      <c r="AP82" s="66"/>
      <c r="AQ82" s="66"/>
      <c r="AR82" s="66"/>
      <c r="AS82" s="106"/>
      <c r="AT82" s="66"/>
      <c r="AU82" s="70"/>
      <c r="AV82" s="70"/>
      <c r="AW82" s="105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80"/>
      <c r="CP82" s="70"/>
      <c r="CQ82" s="210"/>
      <c r="CR82" s="210"/>
      <c r="CS82" s="210"/>
      <c r="CT82" s="210"/>
      <c r="CU82" s="210"/>
      <c r="CV82" s="210"/>
      <c r="CW82" s="210"/>
      <c r="CX82" s="210"/>
      <c r="CY82" s="210"/>
      <c r="CZ82" s="210"/>
      <c r="DA82" s="210"/>
      <c r="DB82" s="210"/>
      <c r="DC82" s="210"/>
      <c r="DD82" s="210"/>
      <c r="DE82" s="210"/>
      <c r="DF82" s="210"/>
      <c r="DG82" s="210"/>
      <c r="DH82" s="210"/>
      <c r="DI82" s="210"/>
    </row>
    <row r="83" spans="1:113" s="88" customFormat="1" ht="18" x14ac:dyDescent="0.25">
      <c r="A83" s="210"/>
      <c r="B83" s="332"/>
      <c r="C83" s="333" t="s">
        <v>303</v>
      </c>
      <c r="D83" s="334" t="s">
        <v>350</v>
      </c>
      <c r="E83" s="335" t="s">
        <v>188</v>
      </c>
      <c r="F83" s="335" t="s">
        <v>183</v>
      </c>
      <c r="G83" s="335" t="s">
        <v>183</v>
      </c>
      <c r="H83" s="335" t="s">
        <v>183</v>
      </c>
      <c r="I83" s="335" t="s">
        <v>183</v>
      </c>
      <c r="J83" s="335" t="s">
        <v>183</v>
      </c>
      <c r="K83" s="335" t="s">
        <v>183</v>
      </c>
      <c r="L83" s="335" t="s">
        <v>183</v>
      </c>
      <c r="M83" s="336">
        <v>20</v>
      </c>
      <c r="N83" s="337">
        <v>34.950000000000003</v>
      </c>
      <c r="O83" s="338" t="s">
        <v>354</v>
      </c>
      <c r="P83" s="204"/>
      <c r="Q83" s="204"/>
      <c r="R83" s="186" t="s">
        <v>4</v>
      </c>
      <c r="S83" s="70"/>
      <c r="T83" s="70"/>
      <c r="U83" s="70"/>
      <c r="V83" s="70"/>
      <c r="W83" s="70"/>
      <c r="X83" s="93"/>
      <c r="Y83" s="70"/>
      <c r="Z83" s="70"/>
      <c r="AA83" s="105"/>
      <c r="AB83" s="106"/>
      <c r="AC83" s="80"/>
      <c r="AD83" s="66"/>
      <c r="AE83" s="66"/>
      <c r="AF83" s="66"/>
      <c r="AG83" s="66"/>
      <c r="AH83" s="374"/>
      <c r="AI83" s="66"/>
      <c r="AJ83" s="374"/>
      <c r="AK83" s="66"/>
      <c r="AL83" s="66"/>
      <c r="AM83" s="66"/>
      <c r="AN83" s="66"/>
      <c r="AO83" s="66"/>
      <c r="AP83" s="66"/>
      <c r="AQ83" s="66"/>
      <c r="AR83" s="66"/>
      <c r="AS83" s="106"/>
      <c r="AT83" s="66"/>
      <c r="AU83" s="70"/>
      <c r="AV83" s="70"/>
      <c r="AW83" s="105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80"/>
      <c r="CP83" s="70"/>
      <c r="CQ83" s="210"/>
      <c r="CR83" s="210"/>
      <c r="CS83" s="210"/>
      <c r="CT83" s="210"/>
      <c r="CU83" s="210"/>
      <c r="CV83" s="210"/>
      <c r="CW83" s="210"/>
      <c r="CX83" s="210"/>
      <c r="CY83" s="210"/>
      <c r="CZ83" s="210"/>
      <c r="DA83" s="210"/>
      <c r="DB83" s="210"/>
      <c r="DC83" s="210"/>
      <c r="DD83" s="210"/>
      <c r="DE83" s="210"/>
      <c r="DF83" s="210"/>
      <c r="DG83" s="210"/>
      <c r="DH83" s="210"/>
      <c r="DI83" s="210"/>
    </row>
    <row r="84" spans="1:113" s="88" customFormat="1" thickBot="1" x14ac:dyDescent="0.3">
      <c r="A84" s="210"/>
      <c r="B84" s="332"/>
      <c r="C84" s="333" t="s">
        <v>304</v>
      </c>
      <c r="D84" s="334" t="s">
        <v>351</v>
      </c>
      <c r="E84" s="335" t="s">
        <v>188</v>
      </c>
      <c r="F84" s="335" t="s">
        <v>183</v>
      </c>
      <c r="G84" s="335" t="s">
        <v>183</v>
      </c>
      <c r="H84" s="335" t="s">
        <v>183</v>
      </c>
      <c r="I84" s="335" t="s">
        <v>183</v>
      </c>
      <c r="J84" s="335" t="s">
        <v>183</v>
      </c>
      <c r="K84" s="335" t="s">
        <v>183</v>
      </c>
      <c r="L84" s="335" t="s">
        <v>183</v>
      </c>
      <c r="M84" s="336">
        <v>30</v>
      </c>
      <c r="N84" s="337">
        <v>39.950000000000003</v>
      </c>
      <c r="O84" s="442" t="s">
        <v>372</v>
      </c>
      <c r="P84" s="204"/>
      <c r="Q84" s="204"/>
      <c r="R84" s="186" t="s">
        <v>4</v>
      </c>
      <c r="S84" s="70"/>
      <c r="T84" s="70"/>
      <c r="U84" s="70"/>
      <c r="V84" s="70"/>
      <c r="W84" s="70"/>
      <c r="X84" s="93"/>
      <c r="Y84" s="70"/>
      <c r="Z84" s="70"/>
      <c r="AA84" s="105"/>
      <c r="AB84" s="106"/>
      <c r="AC84" s="80"/>
      <c r="AD84" s="66"/>
      <c r="AE84" s="66"/>
      <c r="AF84" s="66"/>
      <c r="AG84" s="66"/>
      <c r="AH84" s="374"/>
      <c r="AI84" s="66"/>
      <c r="AJ84" s="374"/>
      <c r="AK84" s="66"/>
      <c r="AL84" s="66"/>
      <c r="AM84" s="66"/>
      <c r="AN84" s="66"/>
      <c r="AO84" s="66"/>
      <c r="AP84" s="66"/>
      <c r="AQ84" s="66"/>
      <c r="AR84" s="66"/>
      <c r="AS84" s="106"/>
      <c r="AT84" s="66"/>
      <c r="AU84" s="70"/>
      <c r="AV84" s="70"/>
      <c r="AW84" s="105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80"/>
      <c r="CP84" s="70"/>
      <c r="CQ84" s="210"/>
      <c r="CR84" s="210"/>
      <c r="CS84" s="210"/>
      <c r="CT84" s="210"/>
      <c r="CU84" s="210"/>
      <c r="CV84" s="210"/>
      <c r="CW84" s="210"/>
      <c r="CX84" s="210"/>
      <c r="CY84" s="210"/>
      <c r="CZ84" s="210"/>
      <c r="DA84" s="210"/>
      <c r="DB84" s="210"/>
      <c r="DC84" s="210"/>
      <c r="DD84" s="210"/>
      <c r="DE84" s="210"/>
      <c r="DF84" s="210"/>
      <c r="DG84" s="210"/>
      <c r="DH84" s="210"/>
      <c r="DI84" s="210"/>
    </row>
    <row r="85" spans="1:113" s="1" customFormat="1" thickBot="1" x14ac:dyDescent="0.35">
      <c r="A85" s="215"/>
      <c r="B85" s="312" t="s">
        <v>196</v>
      </c>
      <c r="C85" s="313" t="s">
        <v>193</v>
      </c>
      <c r="D85" s="313"/>
      <c r="E85" s="314">
        <f t="shared" ref="E85:L85" si="5">SUMIF(E$39:E$84,"µ",$N$39:$N$84)</f>
        <v>0</v>
      </c>
      <c r="F85" s="314">
        <f t="shared" si="5"/>
        <v>44.9</v>
      </c>
      <c r="G85" s="314">
        <f t="shared" si="5"/>
        <v>44.95</v>
      </c>
      <c r="H85" s="314">
        <f t="shared" si="5"/>
        <v>0</v>
      </c>
      <c r="I85" s="314">
        <f t="shared" si="5"/>
        <v>138.70000000000002</v>
      </c>
      <c r="J85" s="314">
        <f t="shared" si="5"/>
        <v>168.7</v>
      </c>
      <c r="K85" s="314">
        <f t="shared" si="5"/>
        <v>303.49999999999994</v>
      </c>
      <c r="L85" s="315">
        <f t="shared" si="5"/>
        <v>303.49999999999994</v>
      </c>
      <c r="M85" s="316">
        <f>SUM(M39:M84)</f>
        <v>744.7</v>
      </c>
      <c r="N85" s="317">
        <f>SUM(N39:N84)</f>
        <v>829.20000000000039</v>
      </c>
      <c r="O85" s="215"/>
      <c r="P85" s="204"/>
      <c r="Q85" s="204"/>
      <c r="R85" s="189" t="s">
        <v>4</v>
      </c>
      <c r="S85" s="38"/>
      <c r="T85" s="70"/>
      <c r="U85" s="70"/>
      <c r="V85" s="70"/>
      <c r="W85" s="70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77"/>
      <c r="AI85" s="38"/>
      <c r="AJ85" s="377"/>
      <c r="AK85" s="38"/>
      <c r="AL85" s="38"/>
      <c r="AM85" s="38"/>
      <c r="AN85" s="38"/>
      <c r="AO85" s="38"/>
      <c r="AP85" s="38"/>
      <c r="AQ85" s="38"/>
      <c r="AR85" s="38"/>
      <c r="AS85" s="57"/>
      <c r="AT85" s="38"/>
      <c r="AU85" s="38"/>
      <c r="AV85" s="38"/>
      <c r="AW85" s="57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9"/>
      <c r="CG85" s="39"/>
      <c r="CH85" s="37">
        <v>1.984126984126984E-2</v>
      </c>
      <c r="CI85" s="116">
        <f>CH85/$CH$133</f>
        <v>3.2051282051282055E-2</v>
      </c>
      <c r="CJ85" s="38"/>
      <c r="CK85" s="39"/>
      <c r="CL85" s="39"/>
      <c r="CM85" s="38"/>
      <c r="CN85" s="38"/>
      <c r="CO85" s="40"/>
      <c r="CP85" s="38"/>
      <c r="CQ85" s="215"/>
      <c r="CR85" s="215"/>
      <c r="CS85" s="215"/>
      <c r="CT85" s="215"/>
      <c r="CU85" s="215"/>
      <c r="CV85" s="215"/>
      <c r="CW85" s="215"/>
      <c r="CX85" s="215"/>
      <c r="CY85" s="215"/>
      <c r="CZ85" s="215"/>
      <c r="DA85" s="215"/>
      <c r="DB85" s="215"/>
      <c r="DC85" s="215"/>
      <c r="DD85" s="215"/>
      <c r="DE85" s="215"/>
      <c r="DF85" s="215"/>
      <c r="DG85" s="215"/>
      <c r="DH85" s="215"/>
      <c r="DI85" s="215"/>
    </row>
    <row r="86" spans="1:113" s="2" customFormat="1" thickBot="1" x14ac:dyDescent="0.35">
      <c r="A86" s="204"/>
      <c r="B86" s="221"/>
      <c r="C86" s="204"/>
      <c r="D86" s="204"/>
      <c r="E86" s="228"/>
      <c r="F86" s="228"/>
      <c r="G86" s="228"/>
      <c r="H86" s="228"/>
      <c r="I86" s="228"/>
      <c r="J86" s="228"/>
      <c r="K86" s="228"/>
      <c r="L86" s="228"/>
      <c r="M86" s="223"/>
      <c r="N86" s="436" t="s">
        <v>364</v>
      </c>
      <c r="O86" s="230"/>
      <c r="P86" s="204"/>
      <c r="Q86" s="204"/>
      <c r="R86" s="186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376"/>
      <c r="AI86" s="70"/>
      <c r="AJ86" s="376"/>
      <c r="AK86" s="70"/>
      <c r="AL86" s="70"/>
      <c r="AM86" s="70"/>
      <c r="AN86" s="70"/>
      <c r="AO86" s="70"/>
      <c r="AP86" s="70"/>
      <c r="AQ86" s="70"/>
      <c r="AR86" s="70"/>
      <c r="AS86" s="105"/>
      <c r="AT86" s="70"/>
      <c r="AU86" s="70"/>
      <c r="AV86" s="70"/>
      <c r="AW86" s="105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204"/>
      <c r="CR86" s="204"/>
      <c r="CS86" s="204"/>
      <c r="CT86" s="204"/>
      <c r="CU86" s="204"/>
      <c r="CV86" s="204"/>
      <c r="CW86" s="204"/>
      <c r="CX86" s="204"/>
      <c r="CY86" s="204"/>
      <c r="CZ86" s="204"/>
      <c r="DA86" s="204"/>
      <c r="DB86" s="204"/>
      <c r="DC86" s="204"/>
      <c r="DD86" s="204"/>
      <c r="DE86" s="204"/>
      <c r="DF86" s="204"/>
      <c r="DG86" s="204"/>
      <c r="DH86" s="204"/>
      <c r="DI86" s="204"/>
    </row>
    <row r="87" spans="1:113" s="88" customFormat="1" ht="45" x14ac:dyDescent="0.25">
      <c r="A87" s="210"/>
      <c r="B87" s="254" t="s">
        <v>191</v>
      </c>
      <c r="C87" s="306" t="s">
        <v>190</v>
      </c>
      <c r="D87" s="307" t="s">
        <v>2</v>
      </c>
      <c r="E87" s="283" t="s">
        <v>15</v>
      </c>
      <c r="F87" s="283" t="str">
        <f t="shared" ref="F87:L87" si="6">F11</f>
        <v>Kleine Katze</v>
      </c>
      <c r="G87" s="283" t="str">
        <f t="shared" si="6"/>
        <v>Rotfuchs</v>
      </c>
      <c r="H87" s="284" t="str">
        <f t="shared" si="6"/>
        <v>Feen-hörnchen</v>
      </c>
      <c r="I87" s="283" t="str">
        <f t="shared" si="6"/>
        <v>Dachs</v>
      </c>
      <c r="J87" s="285" t="str">
        <f t="shared" si="6"/>
        <v>Ulmen-marder</v>
      </c>
      <c r="K87" s="285" t="str">
        <f t="shared" si="6"/>
        <v>Otter</v>
      </c>
      <c r="L87" s="285" t="str">
        <f t="shared" si="6"/>
        <v>Murmeltier
(ausverkauft)</v>
      </c>
      <c r="M87" s="255" t="s">
        <v>14</v>
      </c>
      <c r="N87" s="256" t="s">
        <v>171</v>
      </c>
      <c r="O87" s="311" t="s">
        <v>99</v>
      </c>
      <c r="P87" s="204"/>
      <c r="Q87" s="204"/>
      <c r="R87" s="187" t="s">
        <v>13</v>
      </c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376"/>
      <c r="AI87" s="70"/>
      <c r="AJ87" s="376"/>
      <c r="AK87" s="70"/>
      <c r="AL87" s="70"/>
      <c r="AM87" s="70"/>
      <c r="AN87" s="70"/>
      <c r="AO87" s="70"/>
      <c r="AP87" s="70"/>
      <c r="AQ87" s="105"/>
      <c r="AR87" s="105"/>
      <c r="AS87" s="105"/>
      <c r="AT87" s="70"/>
      <c r="AU87" s="105"/>
      <c r="AV87" s="105"/>
      <c r="AW87" s="105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80"/>
      <c r="CP87" s="70"/>
      <c r="CQ87" s="210"/>
      <c r="CR87" s="210"/>
      <c r="CS87" s="210"/>
      <c r="CT87" s="210"/>
      <c r="CU87" s="210"/>
      <c r="CV87" s="210"/>
      <c r="CW87" s="210"/>
      <c r="CX87" s="210"/>
      <c r="CY87" s="210"/>
      <c r="CZ87" s="210"/>
      <c r="DA87" s="210"/>
      <c r="DB87" s="210"/>
      <c r="DC87" s="210"/>
      <c r="DD87" s="210"/>
      <c r="DE87" s="210"/>
      <c r="DF87" s="210"/>
      <c r="DG87" s="210"/>
      <c r="DH87" s="210"/>
      <c r="DI87" s="210"/>
    </row>
    <row r="88" spans="1:113" s="100" customFormat="1" ht="18" collapsed="1" x14ac:dyDescent="0.25">
      <c r="A88" s="213"/>
      <c r="B88" s="198"/>
      <c r="C88" s="257" t="s">
        <v>277</v>
      </c>
      <c r="D88" s="319" t="s">
        <v>5</v>
      </c>
      <c r="E88" s="399" t="s">
        <v>278</v>
      </c>
      <c r="F88" s="399" t="s">
        <v>278</v>
      </c>
      <c r="G88" s="399" t="s">
        <v>278</v>
      </c>
      <c r="H88" s="399" t="s">
        <v>278</v>
      </c>
      <c r="I88" s="399" t="s">
        <v>278</v>
      </c>
      <c r="J88" s="399" t="s">
        <v>278</v>
      </c>
      <c r="K88" s="399" t="s">
        <v>278</v>
      </c>
      <c r="L88" s="400" t="s">
        <v>4</v>
      </c>
      <c r="M88" s="368" t="s">
        <v>5</v>
      </c>
      <c r="N88" s="369">
        <v>340</v>
      </c>
      <c r="O88" s="398" t="s">
        <v>353</v>
      </c>
      <c r="P88" s="204"/>
      <c r="Q88" s="204"/>
      <c r="R88" s="186" t="s">
        <v>4</v>
      </c>
      <c r="S88" s="70"/>
      <c r="T88" s="70"/>
      <c r="U88" s="70"/>
      <c r="V88" s="70"/>
      <c r="W88" s="70"/>
      <c r="X88" s="90"/>
      <c r="Y88" s="90"/>
      <c r="Z88" s="90"/>
      <c r="AA88" s="90"/>
      <c r="AB88" s="66"/>
      <c r="AC88" s="66"/>
      <c r="AD88" s="66"/>
      <c r="AE88" s="66"/>
      <c r="AF88" s="66"/>
      <c r="AG88" s="70"/>
      <c r="AH88" s="376"/>
      <c r="AI88" s="70"/>
      <c r="AJ88" s="376"/>
      <c r="AK88" s="70"/>
      <c r="AL88" s="70"/>
      <c r="AM88" s="70"/>
      <c r="AN88" s="70"/>
      <c r="AO88" s="70"/>
      <c r="AP88" s="70"/>
      <c r="AQ88" s="105"/>
      <c r="AR88" s="105"/>
      <c r="AS88" s="105"/>
      <c r="AT88" s="90"/>
      <c r="AU88" s="90"/>
      <c r="AV88" s="90"/>
      <c r="AW88" s="108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90"/>
      <c r="BZ88" s="90"/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0"/>
      <c r="CL88" s="90"/>
      <c r="CM88" s="90"/>
      <c r="CN88" s="90"/>
      <c r="CO88" s="99"/>
      <c r="CP88" s="90"/>
      <c r="CQ88" s="213"/>
      <c r="CR88" s="213"/>
      <c r="CS88" s="213"/>
      <c r="CT88" s="213"/>
      <c r="CU88" s="213"/>
      <c r="CV88" s="213"/>
      <c r="CW88" s="213"/>
      <c r="CX88" s="213"/>
      <c r="CY88" s="213"/>
      <c r="CZ88" s="213"/>
      <c r="DA88" s="213"/>
      <c r="DB88" s="213"/>
      <c r="DC88" s="213"/>
      <c r="DD88" s="213"/>
      <c r="DE88" s="213"/>
      <c r="DF88" s="213"/>
      <c r="DG88" s="213"/>
      <c r="DH88" s="213"/>
      <c r="DI88" s="213"/>
    </row>
    <row r="89" spans="1:113" s="100" customFormat="1" ht="18" x14ac:dyDescent="0.25">
      <c r="A89" s="213"/>
      <c r="B89" s="198"/>
      <c r="C89" s="94" t="s">
        <v>330</v>
      </c>
      <c r="D89" s="95" t="s">
        <v>279</v>
      </c>
      <c r="E89" s="296" t="s">
        <v>188</v>
      </c>
      <c r="F89" s="296" t="str">
        <f>IF(OR($B40="x",$B39="x"),"enthalten","Kauf nach CF")</f>
        <v>Kauf nach CF</v>
      </c>
      <c r="G89" s="197" t="s">
        <v>4</v>
      </c>
      <c r="H89" s="197" t="s">
        <v>4</v>
      </c>
      <c r="I89" s="197" t="s">
        <v>4</v>
      </c>
      <c r="J89" s="197" t="s">
        <v>4</v>
      </c>
      <c r="K89" s="197" t="s">
        <v>4</v>
      </c>
      <c r="L89" s="197" t="s">
        <v>4</v>
      </c>
      <c r="M89" s="107" t="s">
        <v>5</v>
      </c>
      <c r="N89" s="281">
        <v>22.49</v>
      </c>
      <c r="O89" s="282" t="s">
        <v>6</v>
      </c>
      <c r="P89" s="204"/>
      <c r="Q89" s="204"/>
      <c r="R89" s="186" t="s">
        <v>4</v>
      </c>
      <c r="S89" s="103"/>
      <c r="T89" s="70"/>
      <c r="U89" s="70"/>
      <c r="V89" s="70"/>
      <c r="W89" s="70"/>
      <c r="X89" s="90"/>
      <c r="Y89" s="90"/>
      <c r="Z89" s="90"/>
      <c r="AA89" s="90"/>
      <c r="AB89" s="66"/>
      <c r="AC89" s="66"/>
      <c r="AD89" s="66"/>
      <c r="AE89" s="66"/>
      <c r="AF89" s="66"/>
      <c r="AG89" s="70"/>
      <c r="AH89" s="376"/>
      <c r="AI89" s="70"/>
      <c r="AJ89" s="376"/>
      <c r="AK89" s="70"/>
      <c r="AL89" s="70"/>
      <c r="AM89" s="70"/>
      <c r="AN89" s="70"/>
      <c r="AO89" s="70"/>
      <c r="AP89" s="70"/>
      <c r="AQ89" s="105"/>
      <c r="AR89" s="105"/>
      <c r="AS89" s="105"/>
      <c r="AT89" s="90"/>
      <c r="AU89" s="90"/>
      <c r="AV89" s="90"/>
      <c r="AW89" s="108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90"/>
      <c r="BZ89" s="90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0"/>
      <c r="CL89" s="90"/>
      <c r="CM89" s="90"/>
      <c r="CN89" s="90"/>
      <c r="CO89" s="99"/>
      <c r="CP89" s="90"/>
      <c r="CQ89" s="213"/>
      <c r="CR89" s="213"/>
      <c r="CS89" s="213"/>
      <c r="CT89" s="213"/>
      <c r="CU89" s="213"/>
      <c r="CV89" s="213"/>
      <c r="CW89" s="213"/>
      <c r="CX89" s="213"/>
      <c r="CY89" s="213"/>
      <c r="CZ89" s="213"/>
      <c r="DA89" s="213"/>
      <c r="DB89" s="213"/>
      <c r="DC89" s="213"/>
      <c r="DD89" s="213"/>
      <c r="DE89" s="213"/>
      <c r="DF89" s="213"/>
      <c r="DG89" s="213"/>
      <c r="DH89" s="213"/>
      <c r="DI89" s="213"/>
    </row>
    <row r="90" spans="1:113" ht="18" x14ac:dyDescent="0.25">
      <c r="B90" s="198"/>
      <c r="C90" s="94" t="s">
        <v>251</v>
      </c>
      <c r="D90" s="95" t="s">
        <v>280</v>
      </c>
      <c r="E90" s="296" t="s">
        <v>188</v>
      </c>
      <c r="F90" s="296" t="str">
        <f t="shared" ref="F90:G94" si="7">IF($B41="x","enthalten","Kauf nach CF")</f>
        <v>Kauf nach CF</v>
      </c>
      <c r="G90" s="296" t="str">
        <f t="shared" si="7"/>
        <v>Kauf nach CF</v>
      </c>
      <c r="H90" s="197" t="s">
        <v>4</v>
      </c>
      <c r="I90" s="197" t="s">
        <v>4</v>
      </c>
      <c r="J90" s="197" t="s">
        <v>4</v>
      </c>
      <c r="K90" s="197" t="s">
        <v>4</v>
      </c>
      <c r="L90" s="197" t="s">
        <v>4</v>
      </c>
      <c r="M90" s="107" t="s">
        <v>5</v>
      </c>
      <c r="N90" s="111">
        <v>8.99</v>
      </c>
      <c r="O90" s="282" t="s">
        <v>6</v>
      </c>
      <c r="P90" s="204"/>
      <c r="Q90" s="204"/>
      <c r="R90" s="186" t="s">
        <v>4</v>
      </c>
      <c r="S90" s="103"/>
      <c r="T90" s="70"/>
      <c r="U90" s="70"/>
      <c r="V90" s="70"/>
      <c r="W90" s="70"/>
      <c r="AB90" s="66"/>
      <c r="AC90" s="66"/>
      <c r="AD90" s="66"/>
      <c r="AE90" s="66"/>
      <c r="AG90" s="70"/>
      <c r="AH90" s="376"/>
      <c r="AI90" s="70"/>
      <c r="AJ90" s="376"/>
      <c r="AK90" s="70"/>
      <c r="AL90" s="70"/>
      <c r="AM90" s="70"/>
      <c r="AN90" s="70"/>
      <c r="AO90" s="70"/>
      <c r="AP90" s="70"/>
      <c r="AQ90" s="105"/>
      <c r="AR90" s="105"/>
      <c r="AS90" s="105"/>
      <c r="AT90" s="66"/>
      <c r="AU90" s="90"/>
      <c r="BZ90" s="43"/>
      <c r="CA90" s="43"/>
      <c r="CD90" s="43"/>
      <c r="CE90" s="43"/>
      <c r="CH90" s="43"/>
      <c r="CI90" s="43"/>
      <c r="CM90" s="43"/>
      <c r="CN90" s="43"/>
    </row>
    <row r="91" spans="1:113" ht="18" x14ac:dyDescent="0.25">
      <c r="B91" s="198"/>
      <c r="C91" s="94" t="s">
        <v>332</v>
      </c>
      <c r="D91" s="95" t="s">
        <v>280</v>
      </c>
      <c r="E91" s="296" t="s">
        <v>188</v>
      </c>
      <c r="F91" s="296" t="str">
        <f t="shared" si="7"/>
        <v>Kauf nach CF</v>
      </c>
      <c r="G91" s="296" t="str">
        <f t="shared" si="7"/>
        <v>Kauf nach CF</v>
      </c>
      <c r="H91" s="197" t="s">
        <v>4</v>
      </c>
      <c r="I91" s="197" t="s">
        <v>4</v>
      </c>
      <c r="J91" s="197" t="s">
        <v>4</v>
      </c>
      <c r="K91" s="197" t="s">
        <v>4</v>
      </c>
      <c r="L91" s="197" t="s">
        <v>4</v>
      </c>
      <c r="M91" s="107" t="s">
        <v>5</v>
      </c>
      <c r="N91" s="111">
        <v>8.99</v>
      </c>
      <c r="O91" s="282" t="s">
        <v>6</v>
      </c>
      <c r="P91" s="204"/>
      <c r="Q91" s="204"/>
      <c r="R91" s="186" t="s">
        <v>4</v>
      </c>
      <c r="S91" s="103"/>
      <c r="T91" s="70"/>
      <c r="U91" s="70"/>
      <c r="V91" s="70"/>
      <c r="W91" s="70"/>
      <c r="AB91" s="66"/>
      <c r="AC91" s="66"/>
      <c r="AD91" s="66"/>
      <c r="AE91" s="66"/>
      <c r="AG91" s="70"/>
      <c r="AH91" s="376"/>
      <c r="AI91" s="70"/>
      <c r="AJ91" s="376"/>
      <c r="AK91" s="70"/>
      <c r="AL91" s="70"/>
      <c r="AM91" s="70"/>
      <c r="AN91" s="70"/>
      <c r="AO91" s="70"/>
      <c r="AP91" s="70"/>
      <c r="AQ91" s="105"/>
      <c r="AR91" s="105"/>
      <c r="AS91" s="105"/>
      <c r="AT91" s="66"/>
      <c r="AU91" s="90"/>
      <c r="BZ91" s="43"/>
      <c r="CA91" s="43"/>
      <c r="CD91" s="43"/>
      <c r="CE91" s="43"/>
      <c r="CH91" s="43"/>
      <c r="CI91" s="43"/>
      <c r="CM91" s="43"/>
      <c r="CN91" s="43"/>
    </row>
    <row r="92" spans="1:113" ht="18" x14ac:dyDescent="0.25">
      <c r="B92" s="198"/>
      <c r="C92" s="94" t="s">
        <v>333</v>
      </c>
      <c r="D92" s="95" t="s">
        <v>280</v>
      </c>
      <c r="E92" s="296" t="s">
        <v>188</v>
      </c>
      <c r="F92" s="296" t="str">
        <f t="shared" si="7"/>
        <v>Kauf nach CF</v>
      </c>
      <c r="G92" s="296" t="str">
        <f t="shared" si="7"/>
        <v>Kauf nach CF</v>
      </c>
      <c r="H92" s="197" t="s">
        <v>4</v>
      </c>
      <c r="I92" s="197" t="s">
        <v>4</v>
      </c>
      <c r="J92" s="197" t="s">
        <v>4</v>
      </c>
      <c r="K92" s="197" t="s">
        <v>4</v>
      </c>
      <c r="L92" s="197" t="s">
        <v>4</v>
      </c>
      <c r="M92" s="107" t="s">
        <v>5</v>
      </c>
      <c r="N92" s="111">
        <v>8.99</v>
      </c>
      <c r="O92" s="282" t="s">
        <v>6</v>
      </c>
      <c r="P92" s="204"/>
      <c r="Q92" s="204"/>
      <c r="R92" s="186" t="s">
        <v>4</v>
      </c>
      <c r="S92" s="103"/>
      <c r="T92" s="70"/>
      <c r="U92" s="70"/>
      <c r="V92" s="70"/>
      <c r="W92" s="70"/>
      <c r="AB92" s="66"/>
      <c r="AC92" s="66"/>
      <c r="AD92" s="66"/>
      <c r="AE92" s="66"/>
      <c r="AG92" s="70"/>
      <c r="AH92" s="376"/>
      <c r="AI92" s="70"/>
      <c r="AJ92" s="376"/>
      <c r="AK92" s="70"/>
      <c r="AL92" s="70"/>
      <c r="AM92" s="70"/>
      <c r="AN92" s="70"/>
      <c r="AO92" s="70"/>
      <c r="AP92" s="70"/>
      <c r="AQ92" s="105"/>
      <c r="AR92" s="105"/>
      <c r="AS92" s="105"/>
      <c r="AT92" s="66"/>
      <c r="AU92" s="90"/>
      <c r="BZ92" s="43"/>
      <c r="CA92" s="43"/>
      <c r="CD92" s="43"/>
      <c r="CE92" s="43"/>
      <c r="CH92" s="43"/>
      <c r="CI92" s="43"/>
      <c r="CM92" s="43"/>
      <c r="CN92" s="43"/>
    </row>
    <row r="93" spans="1:113" s="100" customFormat="1" ht="18" x14ac:dyDescent="0.25">
      <c r="A93" s="213"/>
      <c r="B93" s="198"/>
      <c r="C93" s="94" t="s">
        <v>334</v>
      </c>
      <c r="D93" s="95" t="s">
        <v>281</v>
      </c>
      <c r="E93" s="296" t="s">
        <v>188</v>
      </c>
      <c r="F93" s="296" t="str">
        <f t="shared" si="7"/>
        <v>Kauf nach CF</v>
      </c>
      <c r="G93" s="296" t="str">
        <f t="shared" si="7"/>
        <v>Kauf nach CF</v>
      </c>
      <c r="H93" s="197" t="s">
        <v>4</v>
      </c>
      <c r="I93" s="197" t="s">
        <v>4</v>
      </c>
      <c r="J93" s="197" t="s">
        <v>4</v>
      </c>
      <c r="K93" s="197" t="s">
        <v>4</v>
      </c>
      <c r="L93" s="197" t="s">
        <v>4</v>
      </c>
      <c r="M93" s="107" t="s">
        <v>5</v>
      </c>
      <c r="N93" s="111">
        <v>9.99</v>
      </c>
      <c r="O93" s="282" t="s">
        <v>6</v>
      </c>
      <c r="P93" s="204"/>
      <c r="Q93" s="204"/>
      <c r="R93" s="186" t="s">
        <v>4</v>
      </c>
      <c r="S93" s="103"/>
      <c r="T93" s="70"/>
      <c r="U93" s="70"/>
      <c r="V93" s="70"/>
      <c r="W93" s="70"/>
      <c r="X93" s="92"/>
      <c r="Y93" s="90"/>
      <c r="Z93" s="90"/>
      <c r="AA93" s="70"/>
      <c r="AB93" s="66"/>
      <c r="AC93" s="103"/>
      <c r="AD93" s="66"/>
      <c r="AE93" s="66"/>
      <c r="AF93" s="66"/>
      <c r="AG93" s="70"/>
      <c r="AH93" s="376"/>
      <c r="AI93" s="70"/>
      <c r="AJ93" s="376"/>
      <c r="AK93" s="70"/>
      <c r="AL93" s="70"/>
      <c r="AM93" s="70"/>
      <c r="AN93" s="70"/>
      <c r="AO93" s="70"/>
      <c r="AP93" s="70"/>
      <c r="AQ93" s="105"/>
      <c r="AR93" s="105"/>
      <c r="AS93" s="105"/>
      <c r="AT93" s="90"/>
      <c r="AU93" s="90"/>
      <c r="AV93" s="90"/>
      <c r="AW93" s="108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90"/>
      <c r="BZ93" s="90"/>
      <c r="CA93" s="90"/>
      <c r="CB93" s="90"/>
      <c r="CC93" s="90"/>
      <c r="CD93" s="90"/>
      <c r="CE93" s="90"/>
      <c r="CF93" s="90"/>
      <c r="CG93" s="90"/>
      <c r="CH93" s="90"/>
      <c r="CI93" s="90"/>
      <c r="CJ93" s="90"/>
      <c r="CK93" s="90"/>
      <c r="CL93" s="90"/>
      <c r="CM93" s="90"/>
      <c r="CN93" s="90"/>
      <c r="CO93" s="99"/>
      <c r="CP93" s="90"/>
      <c r="CQ93" s="213"/>
      <c r="CR93" s="213"/>
      <c r="CS93" s="213"/>
      <c r="CT93" s="213"/>
      <c r="CU93" s="213"/>
      <c r="CV93" s="213"/>
      <c r="CW93" s="213"/>
      <c r="CX93" s="213"/>
      <c r="CY93" s="213"/>
      <c r="CZ93" s="213"/>
      <c r="DA93" s="213"/>
      <c r="DB93" s="213"/>
      <c r="DC93" s="213"/>
      <c r="DD93" s="213"/>
      <c r="DE93" s="213"/>
      <c r="DF93" s="213"/>
      <c r="DG93" s="213"/>
      <c r="DH93" s="213"/>
      <c r="DI93" s="213"/>
    </row>
    <row r="94" spans="1:113" ht="18" x14ac:dyDescent="0.25">
      <c r="B94" s="198"/>
      <c r="C94" s="94" t="s">
        <v>335</v>
      </c>
      <c r="D94" s="95" t="s">
        <v>282</v>
      </c>
      <c r="E94" s="296" t="s">
        <v>188</v>
      </c>
      <c r="F94" s="296" t="str">
        <f t="shared" si="7"/>
        <v>Kauf nach CF</v>
      </c>
      <c r="G94" s="296" t="str">
        <f t="shared" si="7"/>
        <v>Kauf nach CF</v>
      </c>
      <c r="H94" s="197" t="s">
        <v>4</v>
      </c>
      <c r="I94" s="197" t="s">
        <v>4</v>
      </c>
      <c r="J94" s="197" t="s">
        <v>4</v>
      </c>
      <c r="K94" s="197" t="s">
        <v>4</v>
      </c>
      <c r="L94" s="197" t="s">
        <v>4</v>
      </c>
      <c r="M94" s="107" t="s">
        <v>5</v>
      </c>
      <c r="N94" s="111">
        <v>9.99</v>
      </c>
      <c r="O94" s="282" t="s">
        <v>6</v>
      </c>
      <c r="P94" s="204"/>
      <c r="Q94" s="204"/>
      <c r="R94" s="186" t="s">
        <v>4</v>
      </c>
      <c r="S94" s="103"/>
      <c r="T94" s="70"/>
      <c r="U94" s="70"/>
      <c r="V94" s="70"/>
      <c r="W94" s="70"/>
      <c r="AA94" s="105"/>
      <c r="AB94" s="106"/>
      <c r="AC94" s="80"/>
      <c r="AD94" s="59"/>
      <c r="AE94" s="59"/>
      <c r="AF94" s="66"/>
      <c r="AG94" s="66"/>
      <c r="AH94" s="374"/>
      <c r="AI94" s="66"/>
      <c r="AJ94" s="374"/>
      <c r="AK94" s="66"/>
      <c r="AL94" s="66"/>
      <c r="AM94" s="66"/>
      <c r="AN94" s="66"/>
      <c r="AO94" s="66"/>
      <c r="AT94" s="59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Z94" s="43"/>
      <c r="CA94" s="43"/>
      <c r="CD94" s="43"/>
      <c r="CE94" s="43"/>
      <c r="CH94" s="43"/>
      <c r="CI94" s="43"/>
      <c r="CM94" s="43"/>
      <c r="CN94" s="43"/>
    </row>
    <row r="95" spans="1:113" s="100" customFormat="1" ht="18" x14ac:dyDescent="0.3">
      <c r="A95" s="213"/>
      <c r="B95" s="198"/>
      <c r="C95" s="331" t="s">
        <v>283</v>
      </c>
      <c r="D95" s="95" t="s">
        <v>164</v>
      </c>
      <c r="E95" s="296" t="s">
        <v>188</v>
      </c>
      <c r="F95" s="296" t="s">
        <v>188</v>
      </c>
      <c r="G95" s="197" t="s">
        <v>4</v>
      </c>
      <c r="H95" s="197" t="s">
        <v>4</v>
      </c>
      <c r="I95" s="197" t="s">
        <v>4</v>
      </c>
      <c r="J95" s="197" t="s">
        <v>4</v>
      </c>
      <c r="K95" s="197" t="s">
        <v>4</v>
      </c>
      <c r="L95" s="197" t="s">
        <v>4</v>
      </c>
      <c r="M95" s="107" t="s">
        <v>5</v>
      </c>
      <c r="N95" s="281">
        <v>9.99</v>
      </c>
      <c r="O95" s="282" t="s">
        <v>187</v>
      </c>
      <c r="P95" s="204"/>
      <c r="Q95" s="204"/>
      <c r="R95" s="186" t="s">
        <v>4</v>
      </c>
      <c r="S95" s="103"/>
      <c r="T95" s="70"/>
      <c r="U95" s="70"/>
      <c r="V95" s="70"/>
      <c r="W95" s="70"/>
      <c r="X95" s="90"/>
      <c r="Y95" s="90"/>
      <c r="Z95" s="90"/>
      <c r="AA95" s="90"/>
      <c r="AB95" s="66"/>
      <c r="AC95" s="66"/>
      <c r="AD95" s="108"/>
      <c r="AE95" s="108"/>
      <c r="AF95" s="66"/>
      <c r="AG95" s="66"/>
      <c r="AH95" s="374"/>
      <c r="AI95" s="66"/>
      <c r="AJ95" s="374"/>
      <c r="AK95" s="66"/>
      <c r="AL95" s="66"/>
      <c r="AM95" s="66"/>
      <c r="AN95" s="66"/>
      <c r="AO95" s="66"/>
      <c r="AP95" s="44"/>
      <c r="AQ95" s="108"/>
      <c r="AR95" s="108"/>
      <c r="AS95" s="108"/>
      <c r="AT95" s="108"/>
      <c r="AU95" s="108"/>
      <c r="AV95" s="108"/>
      <c r="AW95" s="108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90"/>
      <c r="BZ95" s="109"/>
      <c r="CA95" s="109"/>
      <c r="CB95" s="90"/>
      <c r="CC95" s="90"/>
      <c r="CD95" s="109"/>
      <c r="CE95" s="109"/>
      <c r="CF95" s="90"/>
      <c r="CG95" s="90"/>
      <c r="CH95" s="109"/>
      <c r="CI95" s="109"/>
      <c r="CJ95" s="90"/>
      <c r="CK95" s="90"/>
      <c r="CL95" s="90"/>
      <c r="CM95" s="109"/>
      <c r="CN95" s="109"/>
      <c r="CO95" s="99"/>
      <c r="CP95" s="90"/>
      <c r="CQ95" s="213"/>
      <c r="CR95" s="213"/>
      <c r="CS95" s="213"/>
      <c r="CT95" s="213"/>
      <c r="CU95" s="213"/>
      <c r="CV95" s="213"/>
      <c r="CW95" s="213"/>
      <c r="CX95" s="213"/>
      <c r="CY95" s="213"/>
      <c r="CZ95" s="213"/>
      <c r="DA95" s="213"/>
      <c r="DB95" s="213"/>
      <c r="DC95" s="213"/>
      <c r="DD95" s="213"/>
      <c r="DE95" s="213"/>
      <c r="DF95" s="213"/>
      <c r="DG95" s="213"/>
      <c r="DH95" s="213"/>
      <c r="DI95" s="213"/>
    </row>
    <row r="96" spans="1:113" s="115" customFormat="1" ht="18" x14ac:dyDescent="0.3">
      <c r="A96" s="214"/>
      <c r="B96" s="199"/>
      <c r="C96" s="401" t="s">
        <v>352</v>
      </c>
      <c r="D96" s="110" t="s">
        <v>379</v>
      </c>
      <c r="E96" s="347" t="s">
        <v>203</v>
      </c>
      <c r="F96" s="347" t="s">
        <v>203</v>
      </c>
      <c r="G96" s="197" t="s">
        <v>4</v>
      </c>
      <c r="H96" s="197" t="s">
        <v>4</v>
      </c>
      <c r="I96" s="197" t="s">
        <v>4</v>
      </c>
      <c r="J96" s="197" t="s">
        <v>4</v>
      </c>
      <c r="K96" s="197" t="s">
        <v>4</v>
      </c>
      <c r="L96" s="197" t="s">
        <v>4</v>
      </c>
      <c r="M96" s="96" t="s">
        <v>5</v>
      </c>
      <c r="N96" s="111" t="s">
        <v>5</v>
      </c>
      <c r="O96" s="102" t="s">
        <v>313</v>
      </c>
      <c r="P96" s="204"/>
      <c r="Q96" s="204"/>
      <c r="R96" s="188" t="s">
        <v>4</v>
      </c>
      <c r="S96" s="103"/>
      <c r="T96" s="70"/>
      <c r="U96" s="70"/>
      <c r="V96" s="70"/>
      <c r="W96" s="70"/>
      <c r="X96" s="44"/>
      <c r="Y96" s="44"/>
      <c r="Z96" s="44"/>
      <c r="AA96" s="44"/>
      <c r="AB96" s="66"/>
      <c r="AC96" s="80"/>
      <c r="AD96" s="63"/>
      <c r="AE96" s="63"/>
      <c r="AF96" s="66"/>
      <c r="AG96" s="66"/>
      <c r="AH96" s="374"/>
      <c r="AI96" s="66"/>
      <c r="AJ96" s="374"/>
      <c r="AK96" s="66"/>
      <c r="AL96" s="66"/>
      <c r="AM96" s="66"/>
      <c r="AN96" s="66"/>
      <c r="AO96" s="66"/>
      <c r="AP96" s="44"/>
      <c r="AQ96" s="63"/>
      <c r="AR96" s="63"/>
      <c r="AS96" s="63"/>
      <c r="AT96" s="63"/>
      <c r="AU96" s="63"/>
      <c r="AV96" s="63"/>
      <c r="AW96" s="63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114"/>
      <c r="CP96" s="44"/>
      <c r="CQ96" s="213"/>
      <c r="CR96" s="213"/>
      <c r="CS96" s="213"/>
      <c r="CT96" s="213"/>
      <c r="CU96" s="214"/>
      <c r="CV96" s="214"/>
      <c r="CW96" s="214"/>
      <c r="CX96" s="214"/>
      <c r="CY96" s="214"/>
      <c r="CZ96" s="214"/>
      <c r="DA96" s="214"/>
      <c r="DB96" s="214"/>
      <c r="DC96" s="214"/>
      <c r="DD96" s="214"/>
      <c r="DE96" s="214"/>
      <c r="DF96" s="214"/>
      <c r="DG96" s="214"/>
      <c r="DH96" s="214"/>
      <c r="DI96" s="214"/>
    </row>
    <row r="97" spans="1:113" s="115" customFormat="1" ht="18" x14ac:dyDescent="0.3">
      <c r="A97" s="214"/>
      <c r="B97" s="199"/>
      <c r="C97" s="339" t="s">
        <v>323</v>
      </c>
      <c r="D97" s="110" t="s">
        <v>318</v>
      </c>
      <c r="E97" s="403" t="s">
        <v>203</v>
      </c>
      <c r="F97" s="403" t="s">
        <v>203</v>
      </c>
      <c r="G97" s="197" t="s">
        <v>4</v>
      </c>
      <c r="H97" s="197" t="s">
        <v>4</v>
      </c>
      <c r="I97" s="197" t="s">
        <v>4</v>
      </c>
      <c r="J97" s="197" t="s">
        <v>4</v>
      </c>
      <c r="K97" s="197" t="s">
        <v>4</v>
      </c>
      <c r="L97" s="197" t="s">
        <v>4</v>
      </c>
      <c r="M97" s="107" t="s">
        <v>5</v>
      </c>
      <c r="N97" s="111" t="s">
        <v>5</v>
      </c>
      <c r="O97" s="112" t="s">
        <v>313</v>
      </c>
      <c r="P97" s="204"/>
      <c r="Q97" s="204"/>
      <c r="R97" s="188" t="s">
        <v>4</v>
      </c>
      <c r="S97" s="113"/>
      <c r="T97" s="70"/>
      <c r="U97" s="70"/>
      <c r="V97" s="70"/>
      <c r="W97" s="70"/>
      <c r="X97" s="44"/>
      <c r="Y97" s="44"/>
      <c r="Z97" s="44"/>
      <c r="AA97" s="44"/>
      <c r="AB97" s="66"/>
      <c r="AC97" s="80"/>
      <c r="AD97" s="63"/>
      <c r="AE97" s="63"/>
      <c r="AF97" s="66"/>
      <c r="AG97" s="66"/>
      <c r="AH97" s="374"/>
      <c r="AI97" s="66"/>
      <c r="AJ97" s="374"/>
      <c r="AK97" s="66"/>
      <c r="AL97" s="66"/>
      <c r="AM97" s="66"/>
      <c r="AN97" s="66"/>
      <c r="AO97" s="66"/>
      <c r="AP97" s="44"/>
      <c r="AQ97" s="63"/>
      <c r="AR97" s="63"/>
      <c r="AS97" s="63"/>
      <c r="AT97" s="63"/>
      <c r="AU97" s="63"/>
      <c r="AV97" s="63"/>
      <c r="AW97" s="63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114"/>
      <c r="CP97" s="44"/>
      <c r="CQ97" s="213"/>
      <c r="CR97" s="213"/>
      <c r="CS97" s="213"/>
      <c r="CT97" s="213"/>
      <c r="CU97" s="214"/>
      <c r="CV97" s="214"/>
      <c r="CW97" s="214"/>
      <c r="CX97" s="214"/>
      <c r="CY97" s="214"/>
      <c r="CZ97" s="214"/>
      <c r="DA97" s="214"/>
      <c r="DB97" s="214"/>
      <c r="DC97" s="214"/>
      <c r="DD97" s="214"/>
      <c r="DE97" s="214"/>
      <c r="DF97" s="214"/>
      <c r="DG97" s="214"/>
      <c r="DH97" s="214"/>
      <c r="DI97" s="214"/>
    </row>
    <row r="98" spans="1:113" s="115" customFormat="1" ht="18" collapsed="1" x14ac:dyDescent="0.3">
      <c r="A98" s="214"/>
      <c r="B98" s="199"/>
      <c r="C98" s="339" t="s">
        <v>324</v>
      </c>
      <c r="D98" s="110" t="s">
        <v>318</v>
      </c>
      <c r="E98" s="403" t="s">
        <v>203</v>
      </c>
      <c r="F98" s="403" t="s">
        <v>203</v>
      </c>
      <c r="G98" s="197" t="s">
        <v>4</v>
      </c>
      <c r="H98" s="197" t="s">
        <v>4</v>
      </c>
      <c r="I98" s="197" t="s">
        <v>4</v>
      </c>
      <c r="J98" s="197" t="s">
        <v>4</v>
      </c>
      <c r="K98" s="197" t="s">
        <v>4</v>
      </c>
      <c r="L98" s="197" t="s">
        <v>4</v>
      </c>
      <c r="M98" s="107" t="s">
        <v>5</v>
      </c>
      <c r="N98" s="111" t="s">
        <v>5</v>
      </c>
      <c r="O98" s="112" t="s">
        <v>313</v>
      </c>
      <c r="P98" s="204"/>
      <c r="Q98" s="204"/>
      <c r="R98" s="188" t="s">
        <v>4</v>
      </c>
      <c r="S98" s="113"/>
      <c r="T98" s="70"/>
      <c r="U98" s="70"/>
      <c r="V98" s="70"/>
      <c r="W98" s="70"/>
      <c r="X98" s="44"/>
      <c r="Y98" s="44"/>
      <c r="Z98" s="44"/>
      <c r="AA98" s="44"/>
      <c r="AB98" s="66"/>
      <c r="AC98" s="80"/>
      <c r="AD98" s="63"/>
      <c r="AE98" s="63"/>
      <c r="AF98" s="66"/>
      <c r="AG98" s="66"/>
      <c r="AH98" s="374"/>
      <c r="AI98" s="66"/>
      <c r="AJ98" s="374"/>
      <c r="AK98" s="66"/>
      <c r="AL98" s="66"/>
      <c r="AM98" s="66"/>
      <c r="AN98" s="66"/>
      <c r="AO98" s="66"/>
      <c r="AP98" s="44"/>
      <c r="AQ98" s="63"/>
      <c r="AR98" s="63"/>
      <c r="AS98" s="63"/>
      <c r="AT98" s="63"/>
      <c r="AU98" s="63"/>
      <c r="AV98" s="63"/>
      <c r="AW98" s="63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114"/>
      <c r="CP98" s="44"/>
      <c r="CQ98" s="213"/>
      <c r="CR98" s="213"/>
      <c r="CS98" s="213"/>
      <c r="CT98" s="213"/>
      <c r="CU98" s="214"/>
      <c r="CV98" s="214"/>
      <c r="CW98" s="214"/>
      <c r="CX98" s="214"/>
      <c r="CY98" s="214"/>
      <c r="CZ98" s="214"/>
      <c r="DA98" s="214"/>
      <c r="DB98" s="214"/>
      <c r="DC98" s="214"/>
      <c r="DD98" s="214"/>
      <c r="DE98" s="214"/>
      <c r="DF98" s="214"/>
      <c r="DG98" s="214"/>
      <c r="DH98" s="214"/>
      <c r="DI98" s="214"/>
    </row>
    <row r="99" spans="1:113" s="115" customFormat="1" ht="18" collapsed="1" x14ac:dyDescent="0.3">
      <c r="A99" s="214"/>
      <c r="B99" s="199"/>
      <c r="C99" s="339" t="s">
        <v>375</v>
      </c>
      <c r="D99" s="110" t="s">
        <v>318</v>
      </c>
      <c r="E99" s="403" t="s">
        <v>203</v>
      </c>
      <c r="F99" s="403" t="s">
        <v>203</v>
      </c>
      <c r="G99" s="197" t="s">
        <v>4</v>
      </c>
      <c r="H99" s="197" t="s">
        <v>4</v>
      </c>
      <c r="I99" s="197" t="s">
        <v>4</v>
      </c>
      <c r="J99" s="197" t="s">
        <v>4</v>
      </c>
      <c r="K99" s="197" t="s">
        <v>4</v>
      </c>
      <c r="L99" s="197" t="s">
        <v>4</v>
      </c>
      <c r="M99" s="107" t="s">
        <v>5</v>
      </c>
      <c r="N99" s="111" t="s">
        <v>5</v>
      </c>
      <c r="O99" s="112" t="s">
        <v>313</v>
      </c>
      <c r="P99" s="204"/>
      <c r="Q99" s="204"/>
      <c r="R99" s="188" t="s">
        <v>4</v>
      </c>
      <c r="S99" s="113"/>
      <c r="T99" s="70"/>
      <c r="U99" s="70"/>
      <c r="V99" s="70"/>
      <c r="W99" s="70"/>
      <c r="X99" s="44"/>
      <c r="Y99" s="44"/>
      <c r="Z99" s="44"/>
      <c r="AA99" s="44"/>
      <c r="AB99" s="66"/>
      <c r="AC99" s="80"/>
      <c r="AD99" s="63"/>
      <c r="AE99" s="63"/>
      <c r="AF99" s="66"/>
      <c r="AG99" s="66"/>
      <c r="AH99" s="374"/>
      <c r="AI99" s="66"/>
      <c r="AJ99" s="374"/>
      <c r="AK99" s="66"/>
      <c r="AL99" s="66"/>
      <c r="AM99" s="66"/>
      <c r="AN99" s="66"/>
      <c r="AO99" s="66"/>
      <c r="AP99" s="44"/>
      <c r="AQ99" s="63"/>
      <c r="AR99" s="63"/>
      <c r="AS99" s="63"/>
      <c r="AT99" s="63"/>
      <c r="AU99" s="63"/>
      <c r="AV99" s="63"/>
      <c r="AW99" s="63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114"/>
      <c r="CP99" s="44"/>
      <c r="CQ99" s="213"/>
      <c r="CR99" s="213"/>
      <c r="CS99" s="213"/>
      <c r="CT99" s="213"/>
      <c r="CU99" s="214"/>
      <c r="CV99" s="214"/>
      <c r="CW99" s="214"/>
      <c r="CX99" s="214"/>
      <c r="CY99" s="214"/>
      <c r="CZ99" s="214"/>
      <c r="DA99" s="214"/>
      <c r="DB99" s="214"/>
      <c r="DC99" s="214"/>
      <c r="DD99" s="214"/>
      <c r="DE99" s="214"/>
      <c r="DF99" s="214"/>
      <c r="DG99" s="214"/>
      <c r="DH99" s="214"/>
      <c r="DI99" s="214"/>
    </row>
    <row r="100" spans="1:113" s="115" customFormat="1" ht="18" x14ac:dyDescent="0.3">
      <c r="A100" s="214"/>
      <c r="B100" s="199"/>
      <c r="C100" s="346" t="s">
        <v>366</v>
      </c>
      <c r="D100" s="110" t="s">
        <v>318</v>
      </c>
      <c r="E100" s="403" t="s">
        <v>203</v>
      </c>
      <c r="F100" s="403" t="s">
        <v>203</v>
      </c>
      <c r="G100" s="197" t="s">
        <v>4</v>
      </c>
      <c r="H100" s="197" t="s">
        <v>4</v>
      </c>
      <c r="I100" s="197" t="s">
        <v>4</v>
      </c>
      <c r="J100" s="197" t="s">
        <v>4</v>
      </c>
      <c r="K100" s="197" t="s">
        <v>4</v>
      </c>
      <c r="L100" s="197" t="s">
        <v>4</v>
      </c>
      <c r="M100" s="107" t="s">
        <v>5</v>
      </c>
      <c r="N100" s="111" t="s">
        <v>5</v>
      </c>
      <c r="O100" s="112" t="s">
        <v>313</v>
      </c>
      <c r="P100" s="204"/>
      <c r="Q100" s="204"/>
      <c r="R100" s="188" t="s">
        <v>4</v>
      </c>
      <c r="S100" s="113"/>
      <c r="T100" s="70"/>
      <c r="U100" s="70"/>
      <c r="V100" s="70"/>
      <c r="W100" s="70"/>
      <c r="X100" s="44"/>
      <c r="Y100" s="44"/>
      <c r="Z100" s="44"/>
      <c r="AA100" s="44"/>
      <c r="AB100" s="66"/>
      <c r="AC100" s="80"/>
      <c r="AD100" s="63"/>
      <c r="AE100" s="63"/>
      <c r="AF100" s="66"/>
      <c r="AG100" s="66"/>
      <c r="AH100" s="374"/>
      <c r="AI100" s="66"/>
      <c r="AJ100" s="374"/>
      <c r="AK100" s="66"/>
      <c r="AL100" s="66"/>
      <c r="AM100" s="66"/>
      <c r="AN100" s="66"/>
      <c r="AO100" s="66"/>
      <c r="AP100" s="44"/>
      <c r="AQ100" s="63"/>
      <c r="AR100" s="63"/>
      <c r="AS100" s="63"/>
      <c r="AT100" s="63"/>
      <c r="AU100" s="63"/>
      <c r="AV100" s="63"/>
      <c r="AW100" s="63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114"/>
      <c r="CP100" s="44"/>
      <c r="CQ100" s="213"/>
      <c r="CR100" s="213"/>
      <c r="CS100" s="213"/>
      <c r="CT100" s="213"/>
      <c r="CU100" s="214"/>
      <c r="CV100" s="214"/>
      <c r="CW100" s="214"/>
      <c r="CX100" s="214"/>
      <c r="CY100" s="214"/>
      <c r="CZ100" s="214"/>
      <c r="DA100" s="214"/>
      <c r="DB100" s="214"/>
      <c r="DC100" s="214"/>
      <c r="DD100" s="214"/>
      <c r="DE100" s="214"/>
      <c r="DF100" s="214"/>
      <c r="DG100" s="214"/>
      <c r="DH100" s="214"/>
      <c r="DI100" s="214"/>
    </row>
    <row r="101" spans="1:113" s="115" customFormat="1" ht="18" x14ac:dyDescent="0.3">
      <c r="B101" s="199"/>
      <c r="C101" s="346" t="s">
        <v>319</v>
      </c>
      <c r="D101" s="110" t="s">
        <v>318</v>
      </c>
      <c r="E101" s="403" t="s">
        <v>203</v>
      </c>
      <c r="F101" s="403" t="s">
        <v>203</v>
      </c>
      <c r="G101" s="197" t="s">
        <v>4</v>
      </c>
      <c r="H101" s="197" t="s">
        <v>4</v>
      </c>
      <c r="I101" s="197" t="s">
        <v>4</v>
      </c>
      <c r="J101" s="197" t="s">
        <v>4</v>
      </c>
      <c r="K101" s="197" t="s">
        <v>4</v>
      </c>
      <c r="L101" s="197" t="s">
        <v>4</v>
      </c>
      <c r="M101" s="107" t="s">
        <v>5</v>
      </c>
      <c r="N101" s="111" t="s">
        <v>5</v>
      </c>
      <c r="O101" s="112" t="s">
        <v>313</v>
      </c>
      <c r="P101" s="204"/>
      <c r="Q101" s="204"/>
      <c r="R101" s="340" t="s">
        <v>4</v>
      </c>
      <c r="S101" s="341"/>
      <c r="T101" s="88"/>
      <c r="U101" s="88"/>
      <c r="V101" s="88"/>
      <c r="W101" s="88"/>
      <c r="AB101" s="342"/>
      <c r="AC101" s="343"/>
      <c r="AD101" s="344"/>
      <c r="AE101" s="344"/>
      <c r="AF101" s="342"/>
      <c r="AG101" s="342"/>
      <c r="AH101" s="378"/>
      <c r="AI101" s="342"/>
      <c r="AJ101" s="378"/>
      <c r="AK101" s="342"/>
      <c r="AL101" s="342"/>
      <c r="AM101" s="342"/>
      <c r="AN101" s="342"/>
      <c r="AO101" s="342"/>
      <c r="AQ101" s="344"/>
      <c r="AR101" s="344"/>
      <c r="AS101" s="344"/>
      <c r="AT101" s="344"/>
      <c r="AU101" s="344"/>
      <c r="AV101" s="344"/>
      <c r="AW101" s="344"/>
      <c r="AX101" s="342"/>
      <c r="AY101" s="342"/>
      <c r="AZ101" s="342"/>
      <c r="BA101" s="342"/>
      <c r="BB101" s="342"/>
      <c r="BC101" s="342"/>
      <c r="BD101" s="342"/>
      <c r="BE101" s="342"/>
      <c r="BF101" s="342"/>
      <c r="BG101" s="342"/>
      <c r="BH101" s="342"/>
      <c r="BI101" s="342"/>
      <c r="BJ101" s="342"/>
      <c r="BK101" s="342"/>
      <c r="BL101" s="342"/>
      <c r="BM101" s="342"/>
      <c r="BN101" s="342"/>
      <c r="BO101" s="342"/>
      <c r="BP101" s="342"/>
      <c r="BQ101" s="342"/>
      <c r="BR101" s="342"/>
      <c r="BS101" s="342"/>
      <c r="BT101" s="342"/>
      <c r="BU101" s="342"/>
      <c r="BV101" s="342"/>
      <c r="BW101" s="342"/>
      <c r="BX101" s="342"/>
      <c r="CO101" s="345"/>
      <c r="CQ101" s="213"/>
      <c r="CR101" s="213"/>
      <c r="CS101" s="213"/>
      <c r="CT101" s="213"/>
    </row>
    <row r="102" spans="1:113" s="115" customFormat="1" ht="18" x14ac:dyDescent="0.3">
      <c r="A102" s="214"/>
      <c r="B102" s="199"/>
      <c r="C102" s="346" t="s">
        <v>367</v>
      </c>
      <c r="D102" s="110" t="s">
        <v>318</v>
      </c>
      <c r="E102" s="403" t="s">
        <v>203</v>
      </c>
      <c r="F102" s="403" t="s">
        <v>203</v>
      </c>
      <c r="G102" s="197" t="s">
        <v>4</v>
      </c>
      <c r="H102" s="197" t="s">
        <v>4</v>
      </c>
      <c r="I102" s="197" t="s">
        <v>4</v>
      </c>
      <c r="J102" s="197" t="s">
        <v>4</v>
      </c>
      <c r="K102" s="197" t="s">
        <v>4</v>
      </c>
      <c r="L102" s="197" t="s">
        <v>4</v>
      </c>
      <c r="M102" s="107" t="s">
        <v>5</v>
      </c>
      <c r="N102" s="111" t="s">
        <v>5</v>
      </c>
      <c r="O102" s="112" t="s">
        <v>313</v>
      </c>
      <c r="P102" s="204"/>
      <c r="Q102" s="204"/>
      <c r="R102" s="188" t="s">
        <v>4</v>
      </c>
      <c r="S102" s="113"/>
      <c r="T102" s="70"/>
      <c r="U102" s="70"/>
      <c r="V102" s="70"/>
      <c r="W102" s="70"/>
      <c r="X102" s="44"/>
      <c r="Y102" s="44"/>
      <c r="Z102" s="44"/>
      <c r="AA102" s="44"/>
      <c r="AB102" s="66"/>
      <c r="AC102" s="80"/>
      <c r="AD102" s="63"/>
      <c r="AE102" s="63"/>
      <c r="AF102" s="66"/>
      <c r="AG102" s="66"/>
      <c r="AH102" s="374"/>
      <c r="AI102" s="66"/>
      <c r="AJ102" s="374"/>
      <c r="AK102" s="66"/>
      <c r="AL102" s="66"/>
      <c r="AM102" s="66"/>
      <c r="AN102" s="66"/>
      <c r="AO102" s="66"/>
      <c r="AP102" s="44"/>
      <c r="AQ102" s="63"/>
      <c r="AR102" s="63"/>
      <c r="AS102" s="63"/>
      <c r="AT102" s="63"/>
      <c r="AU102" s="63"/>
      <c r="AV102" s="63"/>
      <c r="AW102" s="63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114"/>
      <c r="CP102" s="44"/>
      <c r="CQ102" s="213"/>
      <c r="CR102" s="213"/>
      <c r="CS102" s="213"/>
      <c r="CT102" s="213"/>
      <c r="CU102" s="214"/>
      <c r="CV102" s="214"/>
      <c r="CW102" s="214"/>
      <c r="CX102" s="214"/>
      <c r="CY102" s="214"/>
      <c r="CZ102" s="214"/>
      <c r="DA102" s="214"/>
      <c r="DB102" s="214"/>
      <c r="DC102" s="214"/>
      <c r="DD102" s="214"/>
      <c r="DE102" s="214"/>
      <c r="DF102" s="214"/>
      <c r="DG102" s="214"/>
      <c r="DH102" s="214"/>
      <c r="DI102" s="214"/>
    </row>
    <row r="103" spans="1:113" s="115" customFormat="1" ht="18" x14ac:dyDescent="0.3">
      <c r="A103" s="214"/>
      <c r="B103" s="199"/>
      <c r="C103" s="346" t="s">
        <v>368</v>
      </c>
      <c r="D103" s="110" t="s">
        <v>318</v>
      </c>
      <c r="E103" s="403" t="s">
        <v>203</v>
      </c>
      <c r="F103" s="403" t="s">
        <v>203</v>
      </c>
      <c r="G103" s="197" t="s">
        <v>4</v>
      </c>
      <c r="H103" s="197" t="s">
        <v>4</v>
      </c>
      <c r="I103" s="197" t="s">
        <v>4</v>
      </c>
      <c r="J103" s="197" t="s">
        <v>4</v>
      </c>
      <c r="K103" s="197" t="s">
        <v>4</v>
      </c>
      <c r="L103" s="197" t="s">
        <v>4</v>
      </c>
      <c r="M103" s="107" t="s">
        <v>5</v>
      </c>
      <c r="N103" s="111" t="s">
        <v>5</v>
      </c>
      <c r="O103" s="112" t="s">
        <v>313</v>
      </c>
      <c r="P103" s="204"/>
      <c r="Q103" s="204"/>
      <c r="R103" s="188" t="s">
        <v>4</v>
      </c>
      <c r="S103" s="113"/>
      <c r="T103" s="70"/>
      <c r="U103" s="70"/>
      <c r="V103" s="70"/>
      <c r="W103" s="70"/>
      <c r="X103" s="44"/>
      <c r="Y103" s="44"/>
      <c r="Z103" s="44"/>
      <c r="AA103" s="44"/>
      <c r="AB103" s="66"/>
      <c r="AC103" s="80"/>
      <c r="AD103" s="63"/>
      <c r="AE103" s="63"/>
      <c r="AF103" s="66"/>
      <c r="AG103" s="66"/>
      <c r="AH103" s="374"/>
      <c r="AI103" s="66"/>
      <c r="AJ103" s="374"/>
      <c r="AK103" s="66"/>
      <c r="AL103" s="66"/>
      <c r="AM103" s="66"/>
      <c r="AN103" s="66"/>
      <c r="AO103" s="66"/>
      <c r="AP103" s="44"/>
      <c r="AQ103" s="63"/>
      <c r="AR103" s="63"/>
      <c r="AS103" s="63"/>
      <c r="AT103" s="63"/>
      <c r="AU103" s="63"/>
      <c r="AV103" s="63"/>
      <c r="AW103" s="63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114"/>
      <c r="CP103" s="44"/>
      <c r="CQ103" s="213"/>
      <c r="CR103" s="213"/>
      <c r="CS103" s="213"/>
      <c r="CT103" s="213"/>
      <c r="CU103" s="214"/>
      <c r="CV103" s="214"/>
      <c r="CW103" s="214"/>
      <c r="CX103" s="214"/>
      <c r="CY103" s="214"/>
      <c r="CZ103" s="214"/>
      <c r="DA103" s="214"/>
      <c r="DB103" s="214"/>
      <c r="DC103" s="214"/>
      <c r="DD103" s="214"/>
      <c r="DE103" s="214"/>
      <c r="DF103" s="214"/>
      <c r="DG103" s="214"/>
      <c r="DH103" s="214"/>
      <c r="DI103" s="214"/>
    </row>
    <row r="104" spans="1:113" s="115" customFormat="1" ht="18" x14ac:dyDescent="0.3">
      <c r="A104" s="214"/>
      <c r="B104" s="199"/>
      <c r="C104" s="346" t="s">
        <v>369</v>
      </c>
      <c r="D104" s="110" t="s">
        <v>318</v>
      </c>
      <c r="E104" s="403" t="s">
        <v>203</v>
      </c>
      <c r="F104" s="403" t="s">
        <v>203</v>
      </c>
      <c r="G104" s="197" t="s">
        <v>4</v>
      </c>
      <c r="H104" s="197" t="s">
        <v>4</v>
      </c>
      <c r="I104" s="197" t="s">
        <v>4</v>
      </c>
      <c r="J104" s="197" t="s">
        <v>4</v>
      </c>
      <c r="K104" s="197" t="s">
        <v>4</v>
      </c>
      <c r="L104" s="197" t="s">
        <v>4</v>
      </c>
      <c r="M104" s="107" t="s">
        <v>5</v>
      </c>
      <c r="N104" s="111" t="s">
        <v>5</v>
      </c>
      <c r="O104" s="112" t="s">
        <v>313</v>
      </c>
      <c r="P104" s="204"/>
      <c r="Q104" s="204"/>
      <c r="R104" s="188" t="s">
        <v>4</v>
      </c>
      <c r="S104" s="113"/>
      <c r="T104" s="70"/>
      <c r="U104" s="70"/>
      <c r="V104" s="70"/>
      <c r="W104" s="70"/>
      <c r="X104" s="44"/>
      <c r="Y104" s="44"/>
      <c r="Z104" s="44"/>
      <c r="AA104" s="44"/>
      <c r="AB104" s="66"/>
      <c r="AC104" s="80"/>
      <c r="AD104" s="63"/>
      <c r="AE104" s="63"/>
      <c r="AF104" s="66"/>
      <c r="AG104" s="66"/>
      <c r="AH104" s="374"/>
      <c r="AI104" s="66"/>
      <c r="AJ104" s="374"/>
      <c r="AK104" s="66"/>
      <c r="AL104" s="66"/>
      <c r="AM104" s="66"/>
      <c r="AN104" s="66"/>
      <c r="AO104" s="66"/>
      <c r="AP104" s="44"/>
      <c r="AQ104" s="63"/>
      <c r="AR104" s="63"/>
      <c r="AS104" s="63"/>
      <c r="AT104" s="63"/>
      <c r="AU104" s="63"/>
      <c r="AV104" s="63"/>
      <c r="AW104" s="63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114"/>
      <c r="CP104" s="44"/>
      <c r="CQ104" s="213"/>
      <c r="CR104" s="213"/>
      <c r="CS104" s="213"/>
      <c r="CT104" s="213"/>
      <c r="CU104" s="214"/>
      <c r="CV104" s="214"/>
      <c r="CW104" s="214"/>
      <c r="CX104" s="214"/>
      <c r="CY104" s="214"/>
      <c r="CZ104" s="214"/>
      <c r="DA104" s="214"/>
      <c r="DB104" s="214"/>
      <c r="DC104" s="214"/>
      <c r="DD104" s="214"/>
      <c r="DE104" s="214"/>
      <c r="DF104" s="214"/>
      <c r="DG104" s="214"/>
      <c r="DH104" s="214"/>
      <c r="DI104" s="214"/>
    </row>
    <row r="105" spans="1:113" s="115" customFormat="1" ht="18" x14ac:dyDescent="0.3">
      <c r="A105" s="214"/>
      <c r="B105" s="199"/>
      <c r="C105" s="346" t="s">
        <v>370</v>
      </c>
      <c r="D105" s="110" t="s">
        <v>318</v>
      </c>
      <c r="E105" s="403" t="s">
        <v>203</v>
      </c>
      <c r="F105" s="403" t="s">
        <v>203</v>
      </c>
      <c r="G105" s="197" t="s">
        <v>4</v>
      </c>
      <c r="H105" s="197" t="s">
        <v>4</v>
      </c>
      <c r="I105" s="197" t="s">
        <v>4</v>
      </c>
      <c r="J105" s="197" t="s">
        <v>4</v>
      </c>
      <c r="K105" s="197" t="s">
        <v>4</v>
      </c>
      <c r="L105" s="197" t="s">
        <v>4</v>
      </c>
      <c r="M105" s="107" t="s">
        <v>5</v>
      </c>
      <c r="N105" s="111" t="s">
        <v>5</v>
      </c>
      <c r="O105" s="112" t="s">
        <v>313</v>
      </c>
      <c r="P105" s="204"/>
      <c r="Q105" s="204"/>
      <c r="R105" s="188" t="s">
        <v>4</v>
      </c>
      <c r="S105" s="113"/>
      <c r="T105" s="70"/>
      <c r="U105" s="70"/>
      <c r="V105" s="70"/>
      <c r="W105" s="70"/>
      <c r="X105" s="44"/>
      <c r="Y105" s="44"/>
      <c r="Z105" s="44"/>
      <c r="AA105" s="44"/>
      <c r="AB105" s="66"/>
      <c r="AC105" s="80"/>
      <c r="AD105" s="63"/>
      <c r="AE105" s="63"/>
      <c r="AF105" s="66"/>
      <c r="AG105" s="66"/>
      <c r="AH105" s="374"/>
      <c r="AI105" s="66"/>
      <c r="AJ105" s="374"/>
      <c r="AK105" s="66"/>
      <c r="AL105" s="66"/>
      <c r="AM105" s="66"/>
      <c r="AN105" s="66"/>
      <c r="AO105" s="66"/>
      <c r="AP105" s="44"/>
      <c r="AQ105" s="63"/>
      <c r="AR105" s="63"/>
      <c r="AS105" s="63"/>
      <c r="AT105" s="63"/>
      <c r="AU105" s="63"/>
      <c r="AV105" s="63"/>
      <c r="AW105" s="63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114"/>
      <c r="CP105" s="44"/>
      <c r="CQ105" s="213"/>
      <c r="CR105" s="213"/>
      <c r="CS105" s="213"/>
      <c r="CT105" s="213"/>
      <c r="CU105" s="214"/>
      <c r="CV105" s="214"/>
      <c r="CW105" s="214"/>
      <c r="CX105" s="214"/>
      <c r="CY105" s="214"/>
      <c r="CZ105" s="214"/>
      <c r="DA105" s="214"/>
      <c r="DB105" s="214"/>
      <c r="DC105" s="214"/>
      <c r="DD105" s="214"/>
      <c r="DE105" s="214"/>
      <c r="DF105" s="214"/>
      <c r="DG105" s="214"/>
      <c r="DH105" s="214"/>
      <c r="DI105" s="214"/>
    </row>
    <row r="106" spans="1:113" s="115" customFormat="1" ht="18" x14ac:dyDescent="0.3">
      <c r="A106" s="214"/>
      <c r="B106" s="199"/>
      <c r="C106" s="402" t="s">
        <v>371</v>
      </c>
      <c r="D106" s="110" t="s">
        <v>284</v>
      </c>
      <c r="E106" s="347" t="s">
        <v>203</v>
      </c>
      <c r="F106" s="347" t="s">
        <v>203</v>
      </c>
      <c r="G106" s="197" t="s">
        <v>4</v>
      </c>
      <c r="H106" s="197" t="s">
        <v>4</v>
      </c>
      <c r="I106" s="197" t="s">
        <v>4</v>
      </c>
      <c r="J106" s="197" t="s">
        <v>4</v>
      </c>
      <c r="K106" s="197" t="s">
        <v>4</v>
      </c>
      <c r="L106" s="197" t="s">
        <v>4</v>
      </c>
      <c r="M106" s="107" t="s">
        <v>5</v>
      </c>
      <c r="N106" s="111" t="s">
        <v>5</v>
      </c>
      <c r="O106" s="102" t="s">
        <v>313</v>
      </c>
      <c r="P106" s="204"/>
      <c r="Q106" s="204"/>
      <c r="R106" s="188" t="s">
        <v>4</v>
      </c>
      <c r="S106" s="113"/>
      <c r="T106" s="70"/>
      <c r="U106" s="70"/>
      <c r="V106" s="70"/>
      <c r="W106" s="70"/>
      <c r="X106" s="44"/>
      <c r="Y106" s="44"/>
      <c r="Z106" s="44"/>
      <c r="AA106" s="44"/>
      <c r="AB106" s="66"/>
      <c r="AC106" s="80"/>
      <c r="AD106" s="63"/>
      <c r="AE106" s="63"/>
      <c r="AF106" s="66"/>
      <c r="AG106" s="66"/>
      <c r="AH106" s="374"/>
      <c r="AI106" s="66"/>
      <c r="AJ106" s="374"/>
      <c r="AK106" s="66"/>
      <c r="AL106" s="66"/>
      <c r="AM106" s="66"/>
      <c r="AN106" s="66"/>
      <c r="AO106" s="66"/>
      <c r="AP106" s="44"/>
      <c r="AQ106" s="63"/>
      <c r="AR106" s="63"/>
      <c r="AS106" s="63"/>
      <c r="AT106" s="63"/>
      <c r="AU106" s="63"/>
      <c r="AV106" s="63"/>
      <c r="AW106" s="63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114"/>
      <c r="CP106" s="44"/>
      <c r="CQ106" s="213"/>
      <c r="CR106" s="213"/>
      <c r="CS106" s="213"/>
      <c r="CT106" s="213"/>
      <c r="CU106" s="214"/>
      <c r="CV106" s="214"/>
      <c r="CW106" s="214"/>
      <c r="CX106" s="214"/>
      <c r="CY106" s="214"/>
      <c r="CZ106" s="214"/>
      <c r="DA106" s="214"/>
      <c r="DB106" s="214"/>
      <c r="DC106" s="214"/>
      <c r="DD106" s="214"/>
      <c r="DE106" s="214"/>
      <c r="DF106" s="214"/>
      <c r="DG106" s="214"/>
      <c r="DH106" s="214"/>
      <c r="DI106" s="214"/>
    </row>
    <row r="107" spans="1:113" s="115" customFormat="1" ht="18" x14ac:dyDescent="0.3">
      <c r="A107" s="214"/>
      <c r="B107" s="199"/>
      <c r="C107" s="402" t="s">
        <v>358</v>
      </c>
      <c r="D107" s="110" t="s">
        <v>284</v>
      </c>
      <c r="E107" s="347" t="s">
        <v>203</v>
      </c>
      <c r="F107" s="347" t="s">
        <v>203</v>
      </c>
      <c r="G107" s="197" t="s">
        <v>4</v>
      </c>
      <c r="H107" s="197" t="s">
        <v>4</v>
      </c>
      <c r="I107" s="197" t="s">
        <v>4</v>
      </c>
      <c r="J107" s="197" t="s">
        <v>4</v>
      </c>
      <c r="K107" s="197" t="s">
        <v>4</v>
      </c>
      <c r="L107" s="197" t="s">
        <v>4</v>
      </c>
      <c r="M107" s="107" t="s">
        <v>5</v>
      </c>
      <c r="N107" s="111" t="s">
        <v>5</v>
      </c>
      <c r="O107" s="102" t="s">
        <v>313</v>
      </c>
      <c r="P107" s="204"/>
      <c r="Q107" s="204"/>
      <c r="R107" s="188" t="s">
        <v>4</v>
      </c>
      <c r="S107" s="113">
        <f t="shared" ref="S107:S108" si="8">AC107</f>
        <v>0</v>
      </c>
      <c r="T107" s="70"/>
      <c r="U107" s="70"/>
      <c r="V107" s="70"/>
      <c r="W107" s="70"/>
      <c r="X107" s="44"/>
      <c r="Y107" s="44"/>
      <c r="Z107" s="44"/>
      <c r="AA107" s="44"/>
      <c r="AB107" s="66"/>
      <c r="AC107" s="80"/>
      <c r="AD107" s="63"/>
      <c r="AE107" s="63"/>
      <c r="AF107" s="66"/>
      <c r="AG107" s="66"/>
      <c r="AH107" s="374"/>
      <c r="AI107" s="66"/>
      <c r="AJ107" s="374"/>
      <c r="AK107" s="66"/>
      <c r="AL107" s="66"/>
      <c r="AM107" s="66"/>
      <c r="AN107" s="66"/>
      <c r="AO107" s="66"/>
      <c r="AP107" s="44"/>
      <c r="AQ107" s="63"/>
      <c r="AR107" s="63"/>
      <c r="AS107" s="63"/>
      <c r="AT107" s="63"/>
      <c r="AU107" s="63"/>
      <c r="AV107" s="63"/>
      <c r="AW107" s="63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114"/>
      <c r="CP107" s="44"/>
      <c r="CQ107" s="214"/>
      <c r="CR107" s="214"/>
      <c r="CS107" s="214"/>
      <c r="CT107" s="214"/>
      <c r="CU107" s="214"/>
      <c r="CV107" s="214"/>
      <c r="CW107" s="214"/>
      <c r="CX107" s="214"/>
      <c r="CY107" s="214"/>
      <c r="CZ107" s="214"/>
      <c r="DA107" s="214"/>
      <c r="DB107" s="214"/>
      <c r="DC107" s="214"/>
      <c r="DD107" s="214"/>
      <c r="DE107" s="214"/>
      <c r="DF107" s="214"/>
      <c r="DG107" s="214"/>
      <c r="DH107" s="214"/>
      <c r="DI107" s="214"/>
    </row>
    <row r="108" spans="1:113" s="115" customFormat="1" ht="18" x14ac:dyDescent="0.3">
      <c r="A108" s="214"/>
      <c r="B108" s="199"/>
      <c r="C108" s="402" t="s">
        <v>360</v>
      </c>
      <c r="D108" s="110" t="s">
        <v>284</v>
      </c>
      <c r="E108" s="347" t="s">
        <v>203</v>
      </c>
      <c r="F108" s="347" t="s">
        <v>203</v>
      </c>
      <c r="G108" s="197" t="s">
        <v>4</v>
      </c>
      <c r="H108" s="197" t="s">
        <v>4</v>
      </c>
      <c r="I108" s="197" t="s">
        <v>4</v>
      </c>
      <c r="J108" s="197" t="s">
        <v>4</v>
      </c>
      <c r="K108" s="197" t="s">
        <v>4</v>
      </c>
      <c r="L108" s="197" t="s">
        <v>4</v>
      </c>
      <c r="M108" s="107" t="s">
        <v>5</v>
      </c>
      <c r="N108" s="111" t="s">
        <v>5</v>
      </c>
      <c r="O108" s="102" t="s">
        <v>313</v>
      </c>
      <c r="P108" s="204"/>
      <c r="Q108" s="204"/>
      <c r="R108" s="188" t="s">
        <v>4</v>
      </c>
      <c r="S108" s="113">
        <f t="shared" si="8"/>
        <v>0</v>
      </c>
      <c r="T108" s="70"/>
      <c r="U108" s="70"/>
      <c r="V108" s="70"/>
      <c r="W108" s="70"/>
      <c r="X108" s="44"/>
      <c r="Y108" s="44"/>
      <c r="Z108" s="44"/>
      <c r="AA108" s="44"/>
      <c r="AB108" s="66"/>
      <c r="AC108" s="80"/>
      <c r="AD108" s="63"/>
      <c r="AE108" s="63"/>
      <c r="AF108" s="66"/>
      <c r="AG108" s="66"/>
      <c r="AH108" s="374"/>
      <c r="AI108" s="66"/>
      <c r="AJ108" s="374"/>
      <c r="AK108" s="66"/>
      <c r="AL108" s="66"/>
      <c r="AM108" s="66"/>
      <c r="AN108" s="66"/>
      <c r="AO108" s="66"/>
      <c r="AP108" s="44"/>
      <c r="AQ108" s="63"/>
      <c r="AR108" s="63"/>
      <c r="AS108" s="63"/>
      <c r="AT108" s="63"/>
      <c r="AU108" s="63"/>
      <c r="AV108" s="63"/>
      <c r="AW108" s="63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114"/>
      <c r="CP108" s="44"/>
      <c r="CQ108" s="214"/>
      <c r="CR108" s="214"/>
      <c r="CS108" s="214"/>
      <c r="CT108" s="214"/>
      <c r="CU108" s="214"/>
      <c r="CV108" s="214"/>
      <c r="CW108" s="214"/>
      <c r="CX108" s="214"/>
      <c r="CY108" s="214"/>
      <c r="CZ108" s="214"/>
      <c r="DA108" s="214"/>
      <c r="DB108" s="214"/>
      <c r="DC108" s="214"/>
      <c r="DD108" s="214"/>
      <c r="DE108" s="214"/>
      <c r="DF108" s="214"/>
      <c r="DG108" s="214"/>
      <c r="DH108" s="214"/>
      <c r="DI108" s="214"/>
    </row>
    <row r="109" spans="1:113" s="115" customFormat="1" ht="18" x14ac:dyDescent="0.3">
      <c r="A109" s="214"/>
      <c r="B109" s="199"/>
      <c r="C109" s="402" t="s">
        <v>374</v>
      </c>
      <c r="D109" s="110" t="s">
        <v>284</v>
      </c>
      <c r="E109" s="347" t="s">
        <v>203</v>
      </c>
      <c r="F109" s="347" t="s">
        <v>203</v>
      </c>
      <c r="G109" s="197" t="s">
        <v>4</v>
      </c>
      <c r="H109" s="197" t="s">
        <v>4</v>
      </c>
      <c r="I109" s="197" t="s">
        <v>4</v>
      </c>
      <c r="J109" s="197" t="s">
        <v>4</v>
      </c>
      <c r="K109" s="197" t="s">
        <v>4</v>
      </c>
      <c r="L109" s="197" t="s">
        <v>4</v>
      </c>
      <c r="M109" s="107" t="s">
        <v>5</v>
      </c>
      <c r="N109" s="111" t="s">
        <v>5</v>
      </c>
      <c r="O109" s="102" t="s">
        <v>313</v>
      </c>
      <c r="P109" s="204"/>
      <c r="Q109" s="204"/>
      <c r="R109" s="188" t="s">
        <v>4</v>
      </c>
      <c r="S109" s="113">
        <f t="shared" ref="S109" si="9">AC109</f>
        <v>0</v>
      </c>
      <c r="T109" s="70"/>
      <c r="U109" s="70"/>
      <c r="V109" s="70"/>
      <c r="W109" s="70"/>
      <c r="X109" s="44"/>
      <c r="Y109" s="44"/>
      <c r="Z109" s="44"/>
      <c r="AA109" s="44"/>
      <c r="AB109" s="66"/>
      <c r="AC109" s="80"/>
      <c r="AD109" s="63"/>
      <c r="AE109" s="63"/>
      <c r="AF109" s="66"/>
      <c r="AG109" s="66"/>
      <c r="AH109" s="374"/>
      <c r="AI109" s="66"/>
      <c r="AJ109" s="374"/>
      <c r="AK109" s="66"/>
      <c r="AL109" s="66"/>
      <c r="AM109" s="66"/>
      <c r="AN109" s="66"/>
      <c r="AO109" s="66"/>
      <c r="AP109" s="44"/>
      <c r="AQ109" s="63"/>
      <c r="AR109" s="63"/>
      <c r="AS109" s="63"/>
      <c r="AT109" s="63"/>
      <c r="AU109" s="63"/>
      <c r="AV109" s="63"/>
      <c r="AW109" s="63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114"/>
      <c r="CP109" s="44"/>
      <c r="CQ109" s="214"/>
      <c r="CR109" s="214"/>
      <c r="CS109" s="214"/>
      <c r="CT109" s="214"/>
      <c r="CU109" s="214"/>
      <c r="CV109" s="214"/>
      <c r="CW109" s="214"/>
      <c r="CX109" s="214"/>
      <c r="CY109" s="214"/>
      <c r="CZ109" s="214"/>
      <c r="DA109" s="214"/>
      <c r="DB109" s="214"/>
      <c r="DC109" s="214"/>
      <c r="DD109" s="214"/>
      <c r="DE109" s="214"/>
      <c r="DF109" s="214"/>
      <c r="DG109" s="214"/>
      <c r="DH109" s="214"/>
      <c r="DI109" s="214"/>
    </row>
    <row r="110" spans="1:113" s="115" customFormat="1" ht="18" x14ac:dyDescent="0.3">
      <c r="A110" s="214"/>
      <c r="B110" s="199"/>
      <c r="C110" s="402" t="s">
        <v>322</v>
      </c>
      <c r="D110" s="110" t="s">
        <v>285</v>
      </c>
      <c r="E110" s="347" t="s">
        <v>203</v>
      </c>
      <c r="F110" s="347" t="s">
        <v>203</v>
      </c>
      <c r="G110" s="197" t="s">
        <v>4</v>
      </c>
      <c r="H110" s="197" t="s">
        <v>4</v>
      </c>
      <c r="I110" s="197" t="s">
        <v>4</v>
      </c>
      <c r="J110" s="197" t="s">
        <v>4</v>
      </c>
      <c r="K110" s="197" t="s">
        <v>4</v>
      </c>
      <c r="L110" s="197" t="s">
        <v>4</v>
      </c>
      <c r="M110" s="107" t="s">
        <v>5</v>
      </c>
      <c r="N110" s="111" t="s">
        <v>5</v>
      </c>
      <c r="O110" s="102" t="s">
        <v>313</v>
      </c>
      <c r="P110" s="204"/>
      <c r="Q110" s="204"/>
      <c r="R110" s="188" t="s">
        <v>4</v>
      </c>
      <c r="S110" s="113">
        <f t="shared" ref="S110" si="10">AC110</f>
        <v>0</v>
      </c>
      <c r="T110" s="70"/>
      <c r="U110" s="70"/>
      <c r="V110" s="70"/>
      <c r="W110" s="70"/>
      <c r="X110" s="44"/>
      <c r="Y110" s="44"/>
      <c r="Z110" s="44"/>
      <c r="AA110" s="44"/>
      <c r="AB110" s="66"/>
      <c r="AC110" s="80"/>
      <c r="AD110" s="63"/>
      <c r="AE110" s="63"/>
      <c r="AF110" s="66"/>
      <c r="AG110" s="66"/>
      <c r="AH110" s="374"/>
      <c r="AI110" s="66"/>
      <c r="AJ110" s="374"/>
      <c r="AK110" s="66"/>
      <c r="AL110" s="66"/>
      <c r="AM110" s="66"/>
      <c r="AN110" s="66"/>
      <c r="AO110" s="66"/>
      <c r="AP110" s="44"/>
      <c r="AQ110" s="63"/>
      <c r="AR110" s="63"/>
      <c r="AS110" s="63"/>
      <c r="AT110" s="63"/>
      <c r="AU110" s="63"/>
      <c r="AV110" s="63"/>
      <c r="AW110" s="63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114"/>
      <c r="CP110" s="44"/>
      <c r="CQ110" s="214"/>
      <c r="CR110" s="214"/>
      <c r="CS110" s="214"/>
      <c r="CT110" s="214"/>
      <c r="CU110" s="214"/>
      <c r="CV110" s="214"/>
      <c r="CW110" s="214"/>
      <c r="CX110" s="214"/>
      <c r="CY110" s="214"/>
      <c r="CZ110" s="214"/>
      <c r="DA110" s="214"/>
      <c r="DB110" s="214"/>
      <c r="DC110" s="214"/>
      <c r="DD110" s="214"/>
      <c r="DE110" s="214"/>
      <c r="DF110" s="214"/>
      <c r="DG110" s="214"/>
      <c r="DH110" s="214"/>
      <c r="DI110" s="214"/>
    </row>
    <row r="111" spans="1:113" s="115" customFormat="1" ht="18" x14ac:dyDescent="0.3">
      <c r="A111" s="214"/>
      <c r="B111" s="199"/>
      <c r="C111" s="346" t="s">
        <v>317</v>
      </c>
      <c r="D111" s="110" t="s">
        <v>318</v>
      </c>
      <c r="E111" s="403" t="s">
        <v>203</v>
      </c>
      <c r="F111" s="403" t="s">
        <v>203</v>
      </c>
      <c r="G111" s="197" t="s">
        <v>4</v>
      </c>
      <c r="H111" s="197" t="s">
        <v>4</v>
      </c>
      <c r="I111" s="197" t="s">
        <v>4</v>
      </c>
      <c r="J111" s="197" t="s">
        <v>4</v>
      </c>
      <c r="K111" s="197" t="s">
        <v>4</v>
      </c>
      <c r="L111" s="197" t="s">
        <v>4</v>
      </c>
      <c r="M111" s="107" t="s">
        <v>5</v>
      </c>
      <c r="N111" s="111" t="s">
        <v>5</v>
      </c>
      <c r="O111" s="112" t="s">
        <v>313</v>
      </c>
      <c r="P111" s="204"/>
      <c r="Q111" s="204"/>
      <c r="R111" s="188" t="s">
        <v>4</v>
      </c>
      <c r="S111" s="113"/>
      <c r="T111" s="70"/>
      <c r="U111" s="70"/>
      <c r="V111" s="70"/>
      <c r="W111" s="70"/>
      <c r="X111" s="44"/>
      <c r="Y111" s="44"/>
      <c r="Z111" s="44"/>
      <c r="AA111" s="44"/>
      <c r="AB111" s="66"/>
      <c r="AC111" s="80"/>
      <c r="AD111" s="63"/>
      <c r="AE111" s="63"/>
      <c r="AF111" s="66"/>
      <c r="AG111" s="66"/>
      <c r="AH111" s="374"/>
      <c r="AI111" s="66"/>
      <c r="AJ111" s="374"/>
      <c r="AK111" s="66"/>
      <c r="AL111" s="66"/>
      <c r="AM111" s="66"/>
      <c r="AN111" s="66"/>
      <c r="AO111" s="66"/>
      <c r="AP111" s="44"/>
      <c r="AQ111" s="63"/>
      <c r="AR111" s="63"/>
      <c r="AS111" s="63"/>
      <c r="AT111" s="63"/>
      <c r="AU111" s="63"/>
      <c r="AV111" s="63"/>
      <c r="AW111" s="63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114"/>
      <c r="CP111" s="44"/>
      <c r="CQ111" s="213"/>
      <c r="CR111" s="213"/>
      <c r="CS111" s="213"/>
      <c r="CT111" s="213"/>
      <c r="CU111" s="214"/>
      <c r="CV111" s="214"/>
      <c r="CW111" s="214"/>
      <c r="CX111" s="214"/>
      <c r="CY111" s="214"/>
      <c r="CZ111" s="214"/>
      <c r="DA111" s="214"/>
      <c r="DB111" s="214"/>
      <c r="DC111" s="214"/>
      <c r="DD111" s="214"/>
      <c r="DE111" s="214"/>
      <c r="DF111" s="214"/>
      <c r="DG111" s="214"/>
      <c r="DH111" s="214"/>
      <c r="DI111" s="214"/>
    </row>
    <row r="112" spans="1:113" s="115" customFormat="1" ht="18" x14ac:dyDescent="0.3">
      <c r="A112" s="214"/>
      <c r="B112" s="199"/>
      <c r="C112" s="346" t="s">
        <v>321</v>
      </c>
      <c r="D112" s="110" t="s">
        <v>318</v>
      </c>
      <c r="E112" s="403" t="s">
        <v>203</v>
      </c>
      <c r="F112" s="403" t="s">
        <v>203</v>
      </c>
      <c r="G112" s="197" t="s">
        <v>4</v>
      </c>
      <c r="H112" s="197" t="s">
        <v>4</v>
      </c>
      <c r="I112" s="197" t="s">
        <v>4</v>
      </c>
      <c r="J112" s="197" t="s">
        <v>4</v>
      </c>
      <c r="K112" s="197" t="s">
        <v>4</v>
      </c>
      <c r="L112" s="197" t="s">
        <v>4</v>
      </c>
      <c r="M112" s="107" t="s">
        <v>5</v>
      </c>
      <c r="N112" s="111" t="s">
        <v>5</v>
      </c>
      <c r="O112" s="112" t="s">
        <v>313</v>
      </c>
      <c r="P112" s="204"/>
      <c r="Q112" s="204"/>
      <c r="R112" s="188" t="s">
        <v>4</v>
      </c>
      <c r="S112" s="113"/>
      <c r="T112" s="70"/>
      <c r="U112" s="70"/>
      <c r="V112" s="70"/>
      <c r="W112" s="70"/>
      <c r="X112" s="44"/>
      <c r="Y112" s="44"/>
      <c r="Z112" s="44"/>
      <c r="AA112" s="44"/>
      <c r="AB112" s="66"/>
      <c r="AC112" s="80"/>
      <c r="AD112" s="63"/>
      <c r="AE112" s="63"/>
      <c r="AF112" s="66"/>
      <c r="AG112" s="66"/>
      <c r="AH112" s="374"/>
      <c r="AI112" s="66"/>
      <c r="AJ112" s="374"/>
      <c r="AK112" s="66"/>
      <c r="AL112" s="66"/>
      <c r="AM112" s="66"/>
      <c r="AN112" s="66"/>
      <c r="AO112" s="66"/>
      <c r="AP112" s="44"/>
      <c r="AQ112" s="63"/>
      <c r="AR112" s="63"/>
      <c r="AS112" s="63"/>
      <c r="AT112" s="63"/>
      <c r="AU112" s="63"/>
      <c r="AV112" s="63"/>
      <c r="AW112" s="63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114"/>
      <c r="CP112" s="44"/>
      <c r="CQ112" s="213"/>
      <c r="CR112" s="213"/>
      <c r="CS112" s="213"/>
      <c r="CT112" s="213"/>
      <c r="CU112" s="214"/>
      <c r="CV112" s="214"/>
      <c r="CW112" s="214"/>
      <c r="CX112" s="214"/>
      <c r="CY112" s="214"/>
      <c r="CZ112" s="214"/>
      <c r="DA112" s="214"/>
      <c r="DB112" s="214"/>
      <c r="DC112" s="214"/>
      <c r="DD112" s="214"/>
      <c r="DE112" s="214"/>
      <c r="DF112" s="214"/>
      <c r="DG112" s="214"/>
      <c r="DH112" s="214"/>
      <c r="DI112" s="214"/>
    </row>
    <row r="113" spans="1:113" s="115" customFormat="1" ht="18" x14ac:dyDescent="0.3">
      <c r="A113" s="214"/>
      <c r="B113" s="199"/>
      <c r="C113" s="346" t="s">
        <v>363</v>
      </c>
      <c r="D113" s="110" t="s">
        <v>318</v>
      </c>
      <c r="E113" s="403" t="s">
        <v>203</v>
      </c>
      <c r="F113" s="403" t="s">
        <v>203</v>
      </c>
      <c r="G113" s="197" t="s">
        <v>4</v>
      </c>
      <c r="H113" s="197" t="s">
        <v>4</v>
      </c>
      <c r="I113" s="197" t="s">
        <v>4</v>
      </c>
      <c r="J113" s="197" t="s">
        <v>4</v>
      </c>
      <c r="K113" s="197" t="s">
        <v>4</v>
      </c>
      <c r="L113" s="197" t="s">
        <v>4</v>
      </c>
      <c r="M113" s="107" t="s">
        <v>5</v>
      </c>
      <c r="N113" s="111" t="s">
        <v>5</v>
      </c>
      <c r="O113" s="112" t="s">
        <v>313</v>
      </c>
      <c r="P113" s="204"/>
      <c r="Q113" s="204"/>
      <c r="R113" s="188" t="s">
        <v>4</v>
      </c>
      <c r="S113" s="113"/>
      <c r="T113" s="70"/>
      <c r="U113" s="70"/>
      <c r="V113" s="70"/>
      <c r="W113" s="70"/>
      <c r="X113" s="44"/>
      <c r="Y113" s="44"/>
      <c r="Z113" s="44"/>
      <c r="AA113" s="44"/>
      <c r="AB113" s="66"/>
      <c r="AC113" s="80"/>
      <c r="AD113" s="63"/>
      <c r="AE113" s="63"/>
      <c r="AF113" s="66"/>
      <c r="AG113" s="66"/>
      <c r="AH113" s="374"/>
      <c r="AI113" s="66"/>
      <c r="AJ113" s="374"/>
      <c r="AK113" s="66"/>
      <c r="AL113" s="66"/>
      <c r="AM113" s="66"/>
      <c r="AN113" s="66"/>
      <c r="AO113" s="66"/>
      <c r="AP113" s="44"/>
      <c r="AQ113" s="63"/>
      <c r="AR113" s="63"/>
      <c r="AS113" s="63"/>
      <c r="AT113" s="63"/>
      <c r="AU113" s="63"/>
      <c r="AV113" s="63"/>
      <c r="AW113" s="63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114"/>
      <c r="CP113" s="44"/>
      <c r="CQ113" s="214"/>
      <c r="CR113" s="214"/>
      <c r="CS113" s="214"/>
      <c r="CT113" s="214"/>
      <c r="CU113" s="214"/>
      <c r="CV113" s="214"/>
      <c r="CW113" s="214"/>
      <c r="CX113" s="214"/>
      <c r="CY113" s="214"/>
      <c r="CZ113" s="214"/>
      <c r="DA113" s="214"/>
      <c r="DB113" s="214"/>
      <c r="DC113" s="214"/>
      <c r="DD113" s="214"/>
      <c r="DE113" s="214"/>
      <c r="DF113" s="214"/>
      <c r="DG113" s="214"/>
      <c r="DH113" s="214"/>
      <c r="DI113" s="214"/>
    </row>
    <row r="114" spans="1:113" s="115" customFormat="1" thickBot="1" x14ac:dyDescent="0.35">
      <c r="A114" s="214"/>
      <c r="B114" s="199"/>
      <c r="C114" s="346" t="s">
        <v>365</v>
      </c>
      <c r="D114" s="110" t="s">
        <v>318</v>
      </c>
      <c r="E114" s="403" t="s">
        <v>203</v>
      </c>
      <c r="F114" s="403" t="s">
        <v>203</v>
      </c>
      <c r="G114" s="197" t="s">
        <v>4</v>
      </c>
      <c r="H114" s="197" t="s">
        <v>4</v>
      </c>
      <c r="I114" s="197" t="s">
        <v>4</v>
      </c>
      <c r="J114" s="197" t="s">
        <v>4</v>
      </c>
      <c r="K114" s="197" t="s">
        <v>4</v>
      </c>
      <c r="L114" s="197" t="s">
        <v>4</v>
      </c>
      <c r="M114" s="107" t="s">
        <v>5</v>
      </c>
      <c r="N114" s="111" t="s">
        <v>5</v>
      </c>
      <c r="O114" s="438" t="s">
        <v>313</v>
      </c>
      <c r="P114" s="204"/>
      <c r="Q114" s="204"/>
      <c r="R114" s="188" t="s">
        <v>4</v>
      </c>
      <c r="S114" s="113"/>
      <c r="T114" s="70"/>
      <c r="U114" s="70"/>
      <c r="V114" s="70"/>
      <c r="W114" s="70"/>
      <c r="X114" s="44"/>
      <c r="Y114" s="44"/>
      <c r="Z114" s="44"/>
      <c r="AA114" s="44"/>
      <c r="AB114" s="66"/>
      <c r="AC114" s="80"/>
      <c r="AD114" s="63"/>
      <c r="AE114" s="63"/>
      <c r="AF114" s="66"/>
      <c r="AG114" s="66"/>
      <c r="AH114" s="374"/>
      <c r="AI114" s="66"/>
      <c r="AJ114" s="374"/>
      <c r="AK114" s="66"/>
      <c r="AL114" s="66"/>
      <c r="AM114" s="66"/>
      <c r="AN114" s="66"/>
      <c r="AO114" s="66"/>
      <c r="AP114" s="44"/>
      <c r="AQ114" s="63"/>
      <c r="AR114" s="63"/>
      <c r="AS114" s="63"/>
      <c r="AT114" s="63"/>
      <c r="AU114" s="63"/>
      <c r="AV114" s="63"/>
      <c r="AW114" s="63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114"/>
      <c r="CP114" s="44"/>
      <c r="CQ114" s="214"/>
      <c r="CR114" s="214"/>
      <c r="CS114" s="214"/>
      <c r="CT114" s="214"/>
      <c r="CU114" s="214"/>
      <c r="CV114" s="214"/>
      <c r="CW114" s="214"/>
      <c r="CX114" s="214"/>
      <c r="CY114" s="214"/>
      <c r="CZ114" s="214"/>
      <c r="DA114" s="214"/>
      <c r="DB114" s="214"/>
      <c r="DC114" s="214"/>
      <c r="DD114" s="214"/>
      <c r="DE114" s="214"/>
      <c r="DF114" s="214"/>
      <c r="DG114" s="214"/>
      <c r="DH114" s="214"/>
      <c r="DI114" s="214"/>
    </row>
    <row r="115" spans="1:113" s="1" customFormat="1" thickBot="1" x14ac:dyDescent="0.35">
      <c r="A115" s="215"/>
      <c r="B115" s="312" t="s">
        <v>197</v>
      </c>
      <c r="C115" s="313" t="s">
        <v>194</v>
      </c>
      <c r="D115" s="313"/>
      <c r="E115" s="314">
        <f t="shared" ref="E115:K115" si="11">SUMIF(E$89:E$114,"µ",$N$89:$N$114)</f>
        <v>0</v>
      </c>
      <c r="F115" s="314">
        <f t="shared" si="11"/>
        <v>0</v>
      </c>
      <c r="G115" s="314">
        <f t="shared" si="11"/>
        <v>32.479999999999997</v>
      </c>
      <c r="H115" s="314">
        <f t="shared" si="11"/>
        <v>79.429999999999993</v>
      </c>
      <c r="I115" s="314">
        <f t="shared" si="11"/>
        <v>79.429999999999993</v>
      </c>
      <c r="J115" s="314">
        <f t="shared" si="11"/>
        <v>79.429999999999993</v>
      </c>
      <c r="K115" s="314">
        <f t="shared" si="11"/>
        <v>79.429999999999993</v>
      </c>
      <c r="L115" s="315">
        <f>SUMIF(L$88:L$114,"µ",$N$88:$N$114)</f>
        <v>419.43000000000006</v>
      </c>
      <c r="M115" s="316">
        <f>SUM(M89:M114)</f>
        <v>0</v>
      </c>
      <c r="N115" s="317">
        <f>SUM(N89:N114)</f>
        <v>79.429999999999993</v>
      </c>
      <c r="O115" s="215"/>
      <c r="P115" s="204"/>
      <c r="Q115" s="204"/>
      <c r="R115" s="189" t="s">
        <v>4</v>
      </c>
      <c r="S115" s="38"/>
      <c r="T115" s="70"/>
      <c r="U115" s="70"/>
      <c r="V115" s="70"/>
      <c r="W115" s="70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77"/>
      <c r="AI115" s="38"/>
      <c r="AJ115" s="377"/>
      <c r="AK115" s="38"/>
      <c r="AL115" s="38"/>
      <c r="AM115" s="38"/>
      <c r="AN115" s="38"/>
      <c r="AO115" s="38"/>
      <c r="AP115" s="38"/>
      <c r="AQ115" s="38"/>
      <c r="AR115" s="38"/>
      <c r="AS115" s="57"/>
      <c r="AT115" s="38"/>
      <c r="AU115" s="38"/>
      <c r="AV115" s="38"/>
      <c r="AW115" s="57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9"/>
      <c r="CG115" s="39"/>
      <c r="CH115" s="37">
        <v>1.984126984126984E-2</v>
      </c>
      <c r="CI115" s="116">
        <f t="shared" ref="CI115" si="12">CH115/$CH$133</f>
        <v>3.2051282051282055E-2</v>
      </c>
      <c r="CJ115" s="38"/>
      <c r="CK115" s="39"/>
      <c r="CL115" s="39"/>
      <c r="CM115" s="38"/>
      <c r="CN115" s="38"/>
      <c r="CO115" s="40"/>
      <c r="CP115" s="38"/>
      <c r="CQ115" s="215"/>
      <c r="CR115" s="215"/>
      <c r="CS115" s="215"/>
      <c r="CT115" s="215"/>
      <c r="CU115" s="215"/>
      <c r="CV115" s="215"/>
      <c r="CW115" s="215"/>
      <c r="CX115" s="215"/>
      <c r="CY115" s="215"/>
      <c r="CZ115" s="215"/>
      <c r="DA115" s="215"/>
      <c r="DB115" s="215"/>
      <c r="DC115" s="215"/>
      <c r="DD115" s="215"/>
      <c r="DE115" s="215"/>
      <c r="DF115" s="215"/>
      <c r="DG115" s="215"/>
      <c r="DH115" s="215"/>
      <c r="DI115" s="215"/>
    </row>
    <row r="116" spans="1:113" s="1" customFormat="1" thickBot="1" x14ac:dyDescent="0.35">
      <c r="A116" s="215"/>
      <c r="B116" s="312" t="s">
        <v>198</v>
      </c>
      <c r="C116" s="313" t="s">
        <v>195</v>
      </c>
      <c r="D116" s="313"/>
      <c r="E116" s="314">
        <f t="shared" ref="E116:N116" si="13">E85+E115</f>
        <v>0</v>
      </c>
      <c r="F116" s="314">
        <f t="shared" si="13"/>
        <v>44.9</v>
      </c>
      <c r="G116" s="314">
        <f t="shared" si="13"/>
        <v>77.430000000000007</v>
      </c>
      <c r="H116" s="314">
        <f t="shared" si="13"/>
        <v>79.429999999999993</v>
      </c>
      <c r="I116" s="314">
        <f t="shared" si="13"/>
        <v>218.13</v>
      </c>
      <c r="J116" s="314">
        <f t="shared" si="13"/>
        <v>248.13</v>
      </c>
      <c r="K116" s="314">
        <f t="shared" si="13"/>
        <v>382.92999999999995</v>
      </c>
      <c r="L116" s="315">
        <f t="shared" si="13"/>
        <v>722.93000000000006</v>
      </c>
      <c r="M116" s="316">
        <f t="shared" si="13"/>
        <v>744.7</v>
      </c>
      <c r="N116" s="317">
        <f t="shared" si="13"/>
        <v>908.63000000000034</v>
      </c>
      <c r="O116" s="215"/>
      <c r="P116" s="204"/>
      <c r="Q116" s="204"/>
      <c r="R116" s="189" t="s">
        <v>4</v>
      </c>
      <c r="S116" s="38"/>
      <c r="T116" s="70"/>
      <c r="U116" s="70"/>
      <c r="V116" s="70"/>
      <c r="W116" s="70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77"/>
      <c r="AI116" s="38"/>
      <c r="AJ116" s="377"/>
      <c r="AK116" s="38"/>
      <c r="AL116" s="38"/>
      <c r="AM116" s="38"/>
      <c r="AN116" s="38"/>
      <c r="AO116" s="38"/>
      <c r="AP116" s="38"/>
      <c r="AQ116" s="38"/>
      <c r="AR116" s="38"/>
      <c r="AS116" s="57"/>
      <c r="AT116" s="38"/>
      <c r="AU116" s="38"/>
      <c r="AV116" s="38"/>
      <c r="AW116" s="57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9"/>
      <c r="CG116" s="39"/>
      <c r="CH116" s="37">
        <v>1.984126984126984E-2</v>
      </c>
      <c r="CI116" s="116">
        <f t="shared" ref="CI116" si="14">CH116/$CH$133</f>
        <v>3.2051282051282055E-2</v>
      </c>
      <c r="CJ116" s="38"/>
      <c r="CK116" s="39"/>
      <c r="CL116" s="39"/>
      <c r="CM116" s="38"/>
      <c r="CN116" s="38"/>
      <c r="CO116" s="40"/>
      <c r="CP116" s="38"/>
      <c r="CQ116" s="215"/>
      <c r="CR116" s="215"/>
      <c r="CS116" s="215"/>
      <c r="CT116" s="215"/>
      <c r="CU116" s="215"/>
      <c r="CV116" s="215"/>
      <c r="CW116" s="215"/>
      <c r="CX116" s="215"/>
      <c r="CY116" s="215"/>
      <c r="CZ116" s="215"/>
      <c r="DA116" s="215"/>
      <c r="DB116" s="215"/>
      <c r="DC116" s="215"/>
      <c r="DD116" s="215"/>
      <c r="DE116" s="215"/>
      <c r="DF116" s="215"/>
      <c r="DG116" s="215"/>
      <c r="DH116" s="215"/>
      <c r="DI116" s="215"/>
    </row>
    <row r="117" spans="1:113" s="1" customFormat="1" ht="6.75" customHeight="1" thickBot="1" x14ac:dyDescent="0.35">
      <c r="A117" s="215"/>
      <c r="B117" s="231"/>
      <c r="C117" s="232"/>
      <c r="D117" s="232"/>
      <c r="E117" s="233"/>
      <c r="F117" s="233"/>
      <c r="G117" s="233"/>
      <c r="H117" s="233"/>
      <c r="I117" s="233"/>
      <c r="J117" s="233"/>
      <c r="K117" s="233"/>
      <c r="L117" s="233"/>
      <c r="M117" s="234"/>
      <c r="N117" s="235"/>
      <c r="O117" s="215"/>
      <c r="P117" s="204"/>
      <c r="Q117" s="204"/>
      <c r="R117" s="190"/>
      <c r="S117" s="38"/>
      <c r="T117" s="38"/>
      <c r="U117" s="38"/>
      <c r="V117" s="38"/>
      <c r="W117" s="38"/>
      <c r="X117" s="38"/>
      <c r="Y117" s="38"/>
      <c r="Z117" s="38"/>
      <c r="AA117" s="38"/>
      <c r="AB117" s="109"/>
      <c r="AC117" s="38"/>
      <c r="AD117" s="109"/>
      <c r="AE117" s="109"/>
      <c r="AF117" s="38"/>
      <c r="AG117" s="38"/>
      <c r="AH117" s="377"/>
      <c r="AI117" s="38"/>
      <c r="AJ117" s="377"/>
      <c r="AK117" s="38"/>
      <c r="AL117" s="38"/>
      <c r="AM117" s="38"/>
      <c r="AN117" s="38"/>
      <c r="AO117" s="38"/>
      <c r="AP117" s="38"/>
      <c r="AQ117" s="57"/>
      <c r="AR117" s="38"/>
      <c r="AS117" s="57"/>
      <c r="AT117" s="109"/>
      <c r="AU117" s="117"/>
      <c r="AV117" s="38"/>
      <c r="AW117" s="57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9"/>
      <c r="CG117" s="39"/>
      <c r="CH117" s="37">
        <v>3.0423280423280422E-2</v>
      </c>
      <c r="CI117" s="116">
        <f>CH117/$CH$133</f>
        <v>4.9145299145299151E-2</v>
      </c>
      <c r="CJ117" s="38"/>
      <c r="CK117" s="39"/>
      <c r="CL117" s="39"/>
      <c r="CM117" s="38"/>
      <c r="CN117" s="38"/>
      <c r="CO117" s="40"/>
      <c r="CP117" s="38"/>
      <c r="CQ117" s="215"/>
      <c r="CR117" s="215"/>
      <c r="CS117" s="215"/>
      <c r="CT117" s="215"/>
      <c r="CU117" s="215"/>
      <c r="CV117" s="215"/>
      <c r="CW117" s="215"/>
      <c r="CX117" s="215"/>
      <c r="CY117" s="215"/>
      <c r="CZ117" s="215"/>
      <c r="DA117" s="215"/>
      <c r="DB117" s="215"/>
      <c r="DC117" s="215"/>
      <c r="DD117" s="215"/>
      <c r="DE117" s="215"/>
      <c r="DF117" s="215"/>
      <c r="DG117" s="215"/>
      <c r="DH117" s="215"/>
      <c r="DI117" s="215"/>
    </row>
    <row r="118" spans="1:113" s="1" customFormat="1" thickBot="1" x14ac:dyDescent="0.35">
      <c r="A118" s="215"/>
      <c r="B118" s="318" t="s">
        <v>7</v>
      </c>
      <c r="C118" s="259" t="s">
        <v>166</v>
      </c>
      <c r="D118" s="259"/>
      <c r="E118" s="260">
        <f t="shared" ref="E118:K118" si="15">IF($B$88="x",2000,E$15+SUMIFS($M$39:$M$114,$B$39:$B$114,"x",E$39:E$114,"Zusatzprodukt")+SUMIFS($N$39:$N$114,$B$39:$B$114,"x",E$39:E$114,"Kauf nach CF"))</f>
        <v>0</v>
      </c>
      <c r="F118" s="260">
        <f t="shared" si="15"/>
        <v>30</v>
      </c>
      <c r="G118" s="260">
        <f t="shared" si="15"/>
        <v>45</v>
      </c>
      <c r="H118" s="260">
        <f t="shared" si="15"/>
        <v>60</v>
      </c>
      <c r="I118" s="260">
        <f t="shared" si="15"/>
        <v>119</v>
      </c>
      <c r="J118" s="260">
        <f t="shared" si="15"/>
        <v>149</v>
      </c>
      <c r="K118" s="260">
        <f t="shared" si="15"/>
        <v>259</v>
      </c>
      <c r="L118" s="261">
        <f>L$15+SUMIFS($M$39:$M$114,$B$39:$B$114,"x",L$39:L$114,"Zusatzprodukt")+SUMIFS($N$39:$N$114,$B$39:$B$114,"x",L$39:L$114,"Kauf nach CF")</f>
        <v>599</v>
      </c>
      <c r="M118" s="234"/>
      <c r="N118" s="235"/>
      <c r="O118" s="215"/>
      <c r="P118" s="204"/>
      <c r="Q118" s="204"/>
      <c r="R118" s="189" t="s">
        <v>4</v>
      </c>
      <c r="S118" s="38"/>
      <c r="T118" s="70"/>
      <c r="U118" s="70"/>
      <c r="V118" s="70"/>
      <c r="W118" s="70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77"/>
      <c r="AI118" s="38"/>
      <c r="AJ118" s="377"/>
      <c r="AK118" s="38"/>
      <c r="AL118" s="38"/>
      <c r="AM118" s="38"/>
      <c r="AN118" s="38"/>
      <c r="AO118" s="38"/>
      <c r="AP118" s="38"/>
      <c r="AQ118" s="38"/>
      <c r="AR118" s="38"/>
      <c r="AS118" s="57"/>
      <c r="AT118" s="38"/>
      <c r="AU118" s="38"/>
      <c r="AV118" s="38"/>
      <c r="AW118" s="57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9"/>
      <c r="CG118" s="39"/>
      <c r="CH118" s="37">
        <v>1.984126984126984E-2</v>
      </c>
      <c r="CI118" s="116">
        <f t="shared" ref="CI118:CI124" si="16">CH118/$CH$133</f>
        <v>3.2051282051282055E-2</v>
      </c>
      <c r="CJ118" s="38"/>
      <c r="CK118" s="39"/>
      <c r="CL118" s="39"/>
      <c r="CM118" s="38"/>
      <c r="CN118" s="38"/>
      <c r="CO118" s="40"/>
      <c r="CP118" s="38"/>
      <c r="CQ118" s="215"/>
      <c r="CR118" s="215"/>
      <c r="CS118" s="215"/>
      <c r="CT118" s="215"/>
      <c r="CU118" s="215"/>
      <c r="CV118" s="215"/>
      <c r="CW118" s="215"/>
      <c r="CX118" s="215"/>
      <c r="CY118" s="215"/>
      <c r="CZ118" s="215"/>
      <c r="DA118" s="215"/>
      <c r="DB118" s="215"/>
      <c r="DC118" s="215"/>
      <c r="DD118" s="215"/>
      <c r="DE118" s="215"/>
      <c r="DF118" s="215"/>
      <c r="DG118" s="215"/>
      <c r="DH118" s="215"/>
      <c r="DI118" s="215"/>
    </row>
    <row r="119" spans="1:113" s="1" customFormat="1" ht="18" x14ac:dyDescent="0.3">
      <c r="A119" s="215"/>
      <c r="B119" s="231"/>
      <c r="C119" s="359" t="s">
        <v>306</v>
      </c>
      <c r="D119" s="360"/>
      <c r="E119" s="361">
        <f>$E$118-F$118</f>
        <v>-30</v>
      </c>
      <c r="F119" s="362" t="s">
        <v>8</v>
      </c>
      <c r="G119" s="361">
        <f>$G$118-F$118</f>
        <v>15</v>
      </c>
      <c r="H119" s="361">
        <f>$H$118-F$118</f>
        <v>30</v>
      </c>
      <c r="I119" s="361">
        <f>$I$118-F$118</f>
        <v>89</v>
      </c>
      <c r="J119" s="361">
        <f>$J$118-F$118</f>
        <v>119</v>
      </c>
      <c r="K119" s="361">
        <f>$K$118-F$118</f>
        <v>229</v>
      </c>
      <c r="L119" s="363">
        <f>$L$118-F$118</f>
        <v>569</v>
      </c>
      <c r="M119" s="234"/>
      <c r="N119" s="235"/>
      <c r="O119" s="215"/>
      <c r="P119" s="204"/>
      <c r="Q119" s="204"/>
      <c r="R119" s="186" t="s">
        <v>4</v>
      </c>
      <c r="S119" s="38"/>
      <c r="T119" s="70"/>
      <c r="U119" s="70"/>
      <c r="V119" s="70"/>
      <c r="W119" s="70"/>
      <c r="X119" s="38"/>
      <c r="Y119" s="38"/>
      <c r="Z119" s="38"/>
      <c r="AA119" s="38"/>
      <c r="AB119" s="109"/>
      <c r="AC119" s="38"/>
      <c r="AD119" s="109"/>
      <c r="AE119" s="109"/>
      <c r="AF119" s="38"/>
      <c r="AG119" s="38"/>
      <c r="AH119" s="377"/>
      <c r="AI119" s="38"/>
      <c r="AJ119" s="377"/>
      <c r="AK119" s="38"/>
      <c r="AL119" s="38"/>
      <c r="AM119" s="38"/>
      <c r="AN119" s="38"/>
      <c r="AO119" s="38"/>
      <c r="AP119" s="38"/>
      <c r="AQ119" s="57"/>
      <c r="AR119" s="38"/>
      <c r="AS119" s="57"/>
      <c r="AT119" s="109"/>
      <c r="AU119" s="117"/>
      <c r="AV119" s="38"/>
      <c r="AW119" s="57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9"/>
      <c r="CG119" s="39"/>
      <c r="CH119" s="37">
        <v>1.984126984126984E-2</v>
      </c>
      <c r="CI119" s="116">
        <f t="shared" si="16"/>
        <v>3.2051282051282055E-2</v>
      </c>
      <c r="CJ119" s="38"/>
      <c r="CK119" s="39"/>
      <c r="CL119" s="39"/>
      <c r="CM119" s="38"/>
      <c r="CN119" s="38"/>
      <c r="CO119" s="40"/>
      <c r="CP119" s="38"/>
      <c r="CQ119" s="215"/>
      <c r="CR119" s="215"/>
      <c r="CS119" s="215"/>
      <c r="CT119" s="215"/>
      <c r="CU119" s="215"/>
      <c r="CV119" s="215"/>
      <c r="CW119" s="215"/>
      <c r="CX119" s="215"/>
      <c r="CY119" s="215"/>
      <c r="CZ119" s="215"/>
      <c r="DA119" s="215"/>
      <c r="DB119" s="215"/>
      <c r="DC119" s="215"/>
      <c r="DD119" s="215"/>
      <c r="DE119" s="215"/>
      <c r="DF119" s="215"/>
      <c r="DG119" s="215"/>
      <c r="DH119" s="215"/>
      <c r="DI119" s="215"/>
    </row>
    <row r="120" spans="1:113" s="1" customFormat="1" ht="18" x14ac:dyDescent="0.3">
      <c r="A120" s="215"/>
      <c r="B120" s="231"/>
      <c r="C120" s="359" t="s">
        <v>307</v>
      </c>
      <c r="D120" s="360"/>
      <c r="E120" s="361">
        <f>$E$118-G$118</f>
        <v>-45</v>
      </c>
      <c r="F120" s="361">
        <f>$F$118-G$118</f>
        <v>-15</v>
      </c>
      <c r="G120" s="362" t="s">
        <v>8</v>
      </c>
      <c r="H120" s="361">
        <f>$H$118-G$118</f>
        <v>15</v>
      </c>
      <c r="I120" s="361">
        <f>$I$118-G$118</f>
        <v>74</v>
      </c>
      <c r="J120" s="361">
        <f>$J$118-G$118</f>
        <v>104</v>
      </c>
      <c r="K120" s="361">
        <f>$K$118-G$118</f>
        <v>214</v>
      </c>
      <c r="L120" s="363">
        <f>$L$118-G$118</f>
        <v>554</v>
      </c>
      <c r="M120" s="234"/>
      <c r="N120" s="235"/>
      <c r="O120" s="215"/>
      <c r="P120" s="204"/>
      <c r="Q120" s="204"/>
      <c r="R120" s="186" t="s">
        <v>4</v>
      </c>
      <c r="S120" s="38"/>
      <c r="T120" s="70"/>
      <c r="U120" s="70"/>
      <c r="V120" s="70"/>
      <c r="W120" s="70"/>
      <c r="X120" s="38"/>
      <c r="Y120" s="38"/>
      <c r="Z120" s="38"/>
      <c r="AA120" s="38"/>
      <c r="AB120" s="109"/>
      <c r="AC120" s="38"/>
      <c r="AD120" s="109"/>
      <c r="AE120" s="109"/>
      <c r="AF120" s="38"/>
      <c r="AG120" s="38"/>
      <c r="AH120" s="377"/>
      <c r="AI120" s="38"/>
      <c r="AJ120" s="377"/>
      <c r="AK120" s="38"/>
      <c r="AL120" s="38"/>
      <c r="AM120" s="38"/>
      <c r="AN120" s="38"/>
      <c r="AO120" s="38"/>
      <c r="AP120" s="38"/>
      <c r="AQ120" s="57"/>
      <c r="AR120" s="38"/>
      <c r="AS120" s="57"/>
      <c r="AT120" s="109"/>
      <c r="AU120" s="117"/>
      <c r="AV120" s="38"/>
      <c r="AW120" s="57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9"/>
      <c r="CG120" s="39"/>
      <c r="CH120" s="37">
        <v>1.984126984126984E-2</v>
      </c>
      <c r="CI120" s="116">
        <f t="shared" si="16"/>
        <v>3.2051282051282055E-2</v>
      </c>
      <c r="CJ120" s="38"/>
      <c r="CK120" s="39"/>
      <c r="CL120" s="39"/>
      <c r="CM120" s="38"/>
      <c r="CN120" s="38"/>
      <c r="CO120" s="40"/>
      <c r="CP120" s="38"/>
      <c r="CQ120" s="215"/>
      <c r="CR120" s="215"/>
      <c r="CS120" s="215"/>
      <c r="CT120" s="215"/>
      <c r="CU120" s="215"/>
      <c r="CV120" s="215"/>
      <c r="CW120" s="215"/>
      <c r="CX120" s="215"/>
      <c r="CY120" s="215"/>
      <c r="CZ120" s="215"/>
      <c r="DA120" s="215"/>
      <c r="DB120" s="215"/>
      <c r="DC120" s="215"/>
      <c r="DD120" s="215"/>
      <c r="DE120" s="215"/>
      <c r="DF120" s="215"/>
      <c r="DG120" s="215"/>
      <c r="DH120" s="215"/>
      <c r="DI120" s="215"/>
    </row>
    <row r="121" spans="1:113" s="1" customFormat="1" ht="18" x14ac:dyDescent="0.3">
      <c r="A121" s="215"/>
      <c r="B121" s="231"/>
      <c r="C121" s="359" t="s">
        <v>308</v>
      </c>
      <c r="D121" s="360"/>
      <c r="E121" s="361">
        <f>$E$118-H$118</f>
        <v>-60</v>
      </c>
      <c r="F121" s="361">
        <f>$F$118-H$118</f>
        <v>-30</v>
      </c>
      <c r="G121" s="361">
        <f>$G$118-H$118</f>
        <v>-15</v>
      </c>
      <c r="H121" s="362" t="s">
        <v>8</v>
      </c>
      <c r="I121" s="361">
        <f>$I$118-H$118</f>
        <v>59</v>
      </c>
      <c r="J121" s="361">
        <f>$J$118-H$118</f>
        <v>89</v>
      </c>
      <c r="K121" s="361">
        <f>$K$118-H$118</f>
        <v>199</v>
      </c>
      <c r="L121" s="363">
        <f>$L$118-H$118</f>
        <v>539</v>
      </c>
      <c r="M121" s="234"/>
      <c r="N121" s="235"/>
      <c r="O121" s="215"/>
      <c r="P121" s="204"/>
      <c r="Q121" s="204"/>
      <c r="R121" s="186" t="s">
        <v>4</v>
      </c>
      <c r="S121" s="38"/>
      <c r="T121" s="70"/>
      <c r="U121" s="70"/>
      <c r="V121" s="70"/>
      <c r="W121" s="70"/>
      <c r="X121" s="38"/>
      <c r="Y121" s="38"/>
      <c r="Z121" s="38"/>
      <c r="AA121" s="38"/>
      <c r="AB121" s="109"/>
      <c r="AC121" s="38"/>
      <c r="AD121" s="109"/>
      <c r="AE121" s="109"/>
      <c r="AF121" s="38"/>
      <c r="AG121" s="38"/>
      <c r="AH121" s="377"/>
      <c r="AI121" s="38"/>
      <c r="AJ121" s="377"/>
      <c r="AK121" s="38"/>
      <c r="AL121" s="38"/>
      <c r="AM121" s="38"/>
      <c r="AN121" s="38"/>
      <c r="AO121" s="38"/>
      <c r="AP121" s="38"/>
      <c r="AQ121" s="57"/>
      <c r="AR121" s="38"/>
      <c r="AS121" s="57"/>
      <c r="AT121" s="109"/>
      <c r="AU121" s="117"/>
      <c r="AV121" s="38"/>
      <c r="AW121" s="57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9"/>
      <c r="CG121" s="39"/>
      <c r="CH121" s="37">
        <v>1.984126984126984E-2</v>
      </c>
      <c r="CI121" s="116">
        <f t="shared" si="16"/>
        <v>3.2051282051282055E-2</v>
      </c>
      <c r="CJ121" s="38"/>
      <c r="CK121" s="39"/>
      <c r="CL121" s="39"/>
      <c r="CM121" s="38"/>
      <c r="CN121" s="38"/>
      <c r="CO121" s="40"/>
      <c r="CP121" s="38"/>
      <c r="CQ121" s="215"/>
      <c r="CR121" s="215"/>
      <c r="CS121" s="215"/>
      <c r="CT121" s="215"/>
      <c r="CU121" s="215"/>
      <c r="CV121" s="215"/>
      <c r="CW121" s="215"/>
      <c r="CX121" s="215"/>
      <c r="CY121" s="215"/>
      <c r="CZ121" s="215"/>
      <c r="DA121" s="215"/>
      <c r="DB121" s="215"/>
      <c r="DC121" s="215"/>
      <c r="DD121" s="215"/>
      <c r="DE121" s="215"/>
      <c r="DF121" s="215"/>
      <c r="DG121" s="215"/>
      <c r="DH121" s="215"/>
      <c r="DI121" s="215"/>
    </row>
    <row r="122" spans="1:113" s="1" customFormat="1" ht="18" x14ac:dyDescent="0.3">
      <c r="A122" s="215"/>
      <c r="B122" s="231"/>
      <c r="C122" s="359" t="s">
        <v>309</v>
      </c>
      <c r="D122" s="360"/>
      <c r="E122" s="361">
        <f>$E$118-I$118</f>
        <v>-119</v>
      </c>
      <c r="F122" s="361">
        <f>$F$118-I$118</f>
        <v>-89</v>
      </c>
      <c r="G122" s="361">
        <f>$G$118-I$118</f>
        <v>-74</v>
      </c>
      <c r="H122" s="361">
        <f>$H$118-I$118</f>
        <v>-59</v>
      </c>
      <c r="I122" s="362" t="s">
        <v>8</v>
      </c>
      <c r="J122" s="361">
        <f>$J$118-I$118</f>
        <v>30</v>
      </c>
      <c r="K122" s="361">
        <f>$K$118-I$118</f>
        <v>140</v>
      </c>
      <c r="L122" s="363">
        <f>$L$118-I$118</f>
        <v>480</v>
      </c>
      <c r="M122" s="234"/>
      <c r="N122" s="235"/>
      <c r="O122" s="215"/>
      <c r="P122" s="204"/>
      <c r="Q122" s="204"/>
      <c r="R122" s="186" t="s">
        <v>4</v>
      </c>
      <c r="S122" s="38"/>
      <c r="T122" s="70"/>
      <c r="U122" s="70"/>
      <c r="V122" s="70"/>
      <c r="W122" s="70"/>
      <c r="X122" s="38"/>
      <c r="Y122" s="38"/>
      <c r="Z122" s="38"/>
      <c r="AA122" s="38"/>
      <c r="AB122" s="109"/>
      <c r="AC122" s="38"/>
      <c r="AD122" s="109"/>
      <c r="AE122" s="109"/>
      <c r="AF122" s="38"/>
      <c r="AG122" s="38"/>
      <c r="AH122" s="377"/>
      <c r="AI122" s="38"/>
      <c r="AJ122" s="377"/>
      <c r="AK122" s="38"/>
      <c r="AL122" s="38"/>
      <c r="AM122" s="38"/>
      <c r="AN122" s="38"/>
      <c r="AO122" s="38"/>
      <c r="AP122" s="38"/>
      <c r="AQ122" s="57"/>
      <c r="AR122" s="38"/>
      <c r="AS122" s="57"/>
      <c r="AT122" s="109"/>
      <c r="AU122" s="117"/>
      <c r="AV122" s="38"/>
      <c r="AW122" s="57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9"/>
      <c r="CG122" s="39"/>
      <c r="CH122" s="37">
        <v>2.2486772486772486E-2</v>
      </c>
      <c r="CI122" s="116">
        <f t="shared" si="16"/>
        <v>3.6324786324786328E-2</v>
      </c>
      <c r="CJ122" s="38"/>
      <c r="CK122" s="39"/>
      <c r="CL122" s="39"/>
      <c r="CM122" s="38"/>
      <c r="CN122" s="38"/>
      <c r="CO122" s="40"/>
      <c r="CP122" s="38"/>
      <c r="CQ122" s="215"/>
      <c r="CR122" s="215"/>
      <c r="CS122" s="215"/>
      <c r="CT122" s="215"/>
      <c r="CU122" s="215"/>
      <c r="CV122" s="215"/>
      <c r="CW122" s="215"/>
      <c r="CX122" s="215"/>
      <c r="CY122" s="215"/>
      <c r="CZ122" s="215"/>
      <c r="DA122" s="215"/>
      <c r="DB122" s="215"/>
      <c r="DC122" s="215"/>
      <c r="DD122" s="215"/>
      <c r="DE122" s="215"/>
      <c r="DF122" s="215"/>
      <c r="DG122" s="215"/>
      <c r="DH122" s="215"/>
      <c r="DI122" s="215"/>
    </row>
    <row r="123" spans="1:113" s="1" customFormat="1" ht="18" x14ac:dyDescent="0.3">
      <c r="A123" s="215"/>
      <c r="B123" s="231"/>
      <c r="C123" s="359" t="s">
        <v>310</v>
      </c>
      <c r="D123" s="360"/>
      <c r="E123" s="361">
        <f>$E$118-J$118</f>
        <v>-149</v>
      </c>
      <c r="F123" s="361">
        <f>$F$118-J$118</f>
        <v>-119</v>
      </c>
      <c r="G123" s="361">
        <f>$G$118-J$118</f>
        <v>-104</v>
      </c>
      <c r="H123" s="361">
        <f>$H$118-J$118</f>
        <v>-89</v>
      </c>
      <c r="I123" s="361">
        <f>$I$118-J$118</f>
        <v>-30</v>
      </c>
      <c r="J123" s="362" t="s">
        <v>8</v>
      </c>
      <c r="K123" s="361">
        <f>$K$118-J$118</f>
        <v>110</v>
      </c>
      <c r="L123" s="363">
        <f>$L$118-J$118</f>
        <v>450</v>
      </c>
      <c r="M123" s="234"/>
      <c r="N123" s="235"/>
      <c r="O123" s="215"/>
      <c r="P123" s="204"/>
      <c r="Q123" s="204"/>
      <c r="R123" s="186" t="s">
        <v>4</v>
      </c>
      <c r="S123" s="38"/>
      <c r="T123" s="38"/>
      <c r="U123" s="38"/>
      <c r="V123" s="38"/>
      <c r="W123" s="38"/>
      <c r="X123" s="38"/>
      <c r="Y123" s="38"/>
      <c r="Z123" s="38"/>
      <c r="AA123" s="38"/>
      <c r="AB123" s="109"/>
      <c r="AC123" s="38"/>
      <c r="AD123" s="109"/>
      <c r="AE123" s="109"/>
      <c r="AF123" s="38"/>
      <c r="AG123" s="38"/>
      <c r="AH123" s="377"/>
      <c r="AI123" s="38"/>
      <c r="AJ123" s="377"/>
      <c r="AK123" s="38"/>
      <c r="AL123" s="38"/>
      <c r="AM123" s="38"/>
      <c r="AN123" s="38"/>
      <c r="AO123" s="38"/>
      <c r="AP123" s="38"/>
      <c r="AQ123" s="57"/>
      <c r="AR123" s="38"/>
      <c r="AS123" s="57"/>
      <c r="AT123" s="109"/>
      <c r="AU123" s="117"/>
      <c r="AV123" s="38"/>
      <c r="AW123" s="57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9"/>
      <c r="CG123" s="39"/>
      <c r="CH123" s="37">
        <v>2.5132275132275131E-2</v>
      </c>
      <c r="CI123" s="116">
        <f t="shared" si="16"/>
        <v>4.05982905982906E-2</v>
      </c>
      <c r="CJ123" s="38"/>
      <c r="CK123" s="39"/>
      <c r="CL123" s="39"/>
      <c r="CM123" s="38"/>
      <c r="CN123" s="38"/>
      <c r="CO123" s="40"/>
      <c r="CP123" s="38"/>
      <c r="CQ123" s="215"/>
      <c r="CR123" s="215"/>
      <c r="CS123" s="215"/>
      <c r="CT123" s="215"/>
      <c r="CU123" s="215"/>
      <c r="CV123" s="215"/>
      <c r="CW123" s="215"/>
      <c r="CX123" s="215"/>
      <c r="CY123" s="215"/>
      <c r="CZ123" s="215"/>
      <c r="DA123" s="215"/>
      <c r="DB123" s="215"/>
      <c r="DC123" s="215"/>
      <c r="DD123" s="215"/>
      <c r="DE123" s="215"/>
      <c r="DF123" s="215"/>
      <c r="DG123" s="215"/>
      <c r="DH123" s="215"/>
      <c r="DI123" s="215"/>
    </row>
    <row r="124" spans="1:113" s="1" customFormat="1" ht="18" x14ac:dyDescent="0.3">
      <c r="A124" s="215"/>
      <c r="B124" s="231"/>
      <c r="C124" s="359" t="s">
        <v>311</v>
      </c>
      <c r="D124" s="360"/>
      <c r="E124" s="361">
        <f>$E$118-K$118</f>
        <v>-259</v>
      </c>
      <c r="F124" s="361">
        <f>$F$118-K$118</f>
        <v>-229</v>
      </c>
      <c r="G124" s="361">
        <f>$G$118-K$118</f>
        <v>-214</v>
      </c>
      <c r="H124" s="361">
        <f>$H$118-K$118</f>
        <v>-199</v>
      </c>
      <c r="I124" s="361">
        <f>$I$118-K$118</f>
        <v>-140</v>
      </c>
      <c r="J124" s="361">
        <f>$J$118-K$118</f>
        <v>-110</v>
      </c>
      <c r="K124" s="362" t="s">
        <v>8</v>
      </c>
      <c r="L124" s="363">
        <f>$L$118-K$118</f>
        <v>340</v>
      </c>
      <c r="M124" s="234"/>
      <c r="N124" s="235"/>
      <c r="O124" s="215"/>
      <c r="P124" s="204"/>
      <c r="Q124" s="204"/>
      <c r="R124" s="186" t="s">
        <v>4</v>
      </c>
      <c r="S124" s="38"/>
      <c r="T124" s="38"/>
      <c r="U124" s="38"/>
      <c r="V124" s="38"/>
      <c r="W124" s="38"/>
      <c r="X124" s="38"/>
      <c r="Y124" s="38"/>
      <c r="Z124" s="38"/>
      <c r="AA124" s="38"/>
      <c r="AB124" s="109"/>
      <c r="AC124" s="38"/>
      <c r="AD124" s="109"/>
      <c r="AE124" s="109"/>
      <c r="AF124" s="38"/>
      <c r="AG124" s="38"/>
      <c r="AH124" s="377"/>
      <c r="AI124" s="38"/>
      <c r="AJ124" s="377"/>
      <c r="AK124" s="38"/>
      <c r="AL124" s="38"/>
      <c r="AM124" s="38"/>
      <c r="AN124" s="38"/>
      <c r="AO124" s="38"/>
      <c r="AP124" s="38"/>
      <c r="AQ124" s="57"/>
      <c r="AR124" s="38"/>
      <c r="AS124" s="57"/>
      <c r="AT124" s="109"/>
      <c r="AU124" s="117"/>
      <c r="AV124" s="38"/>
      <c r="AW124" s="57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9"/>
      <c r="CG124" s="39"/>
      <c r="CH124" s="37">
        <v>2.5132275132275131E-2</v>
      </c>
      <c r="CI124" s="116">
        <f t="shared" si="16"/>
        <v>4.05982905982906E-2</v>
      </c>
      <c r="CJ124" s="38"/>
      <c r="CK124" s="39"/>
      <c r="CL124" s="39"/>
      <c r="CM124" s="38"/>
      <c r="CN124" s="38"/>
      <c r="CO124" s="40"/>
      <c r="CP124" s="38"/>
      <c r="CQ124" s="215"/>
      <c r="CR124" s="215"/>
      <c r="CS124" s="215"/>
      <c r="CT124" s="215"/>
      <c r="CU124" s="215"/>
      <c r="CV124" s="215"/>
      <c r="CW124" s="215"/>
      <c r="CX124" s="215"/>
      <c r="CY124" s="215"/>
      <c r="CZ124" s="215"/>
      <c r="DA124" s="215"/>
      <c r="DB124" s="215"/>
      <c r="DC124" s="215"/>
      <c r="DD124" s="215"/>
      <c r="DE124" s="215"/>
      <c r="DF124" s="215"/>
      <c r="DG124" s="215"/>
      <c r="DH124" s="215"/>
      <c r="DI124" s="215"/>
    </row>
    <row r="125" spans="1:113" s="1" customFormat="1" thickBot="1" x14ac:dyDescent="0.35">
      <c r="A125" s="215"/>
      <c r="B125" s="231"/>
      <c r="C125" s="364" t="s">
        <v>312</v>
      </c>
      <c r="D125" s="365"/>
      <c r="E125" s="366">
        <f>$E$118-L$118</f>
        <v>-599</v>
      </c>
      <c r="F125" s="366">
        <f>$F$118-L$118</f>
        <v>-569</v>
      </c>
      <c r="G125" s="366">
        <f>$G$118-L$118</f>
        <v>-554</v>
      </c>
      <c r="H125" s="366">
        <f>$H$118-L$118</f>
        <v>-539</v>
      </c>
      <c r="I125" s="366">
        <f>$I$118-L$118</f>
        <v>-480</v>
      </c>
      <c r="J125" s="366">
        <f>$J$118-L$118</f>
        <v>-450</v>
      </c>
      <c r="K125" s="366">
        <f>$K$118-L$118</f>
        <v>-340</v>
      </c>
      <c r="L125" s="367" t="s">
        <v>8</v>
      </c>
      <c r="M125" s="234"/>
      <c r="N125" s="235"/>
      <c r="O125" s="215"/>
      <c r="P125" s="204"/>
      <c r="Q125" s="204"/>
      <c r="R125" s="186" t="s">
        <v>4</v>
      </c>
      <c r="S125" s="38"/>
      <c r="T125" s="38"/>
      <c r="U125" s="38"/>
      <c r="V125" s="38"/>
      <c r="W125" s="38"/>
      <c r="X125" s="38"/>
      <c r="Y125" s="38"/>
      <c r="Z125" s="38"/>
      <c r="AA125" s="38"/>
      <c r="AB125" s="109"/>
      <c r="AC125" s="38"/>
      <c r="AD125" s="109"/>
      <c r="AE125" s="109"/>
      <c r="AF125" s="38"/>
      <c r="AG125" s="38"/>
      <c r="AH125" s="377"/>
      <c r="AI125" s="38"/>
      <c r="AJ125" s="377"/>
      <c r="AK125" s="38"/>
      <c r="AL125" s="38"/>
      <c r="AM125" s="38"/>
      <c r="AN125" s="38"/>
      <c r="AO125" s="38"/>
      <c r="AP125" s="38"/>
      <c r="AQ125" s="57"/>
      <c r="AR125" s="38"/>
      <c r="AS125" s="57"/>
      <c r="AT125" s="109"/>
      <c r="AU125" s="117"/>
      <c r="AV125" s="38"/>
      <c r="AW125" s="57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9"/>
      <c r="CG125" s="39"/>
      <c r="CH125" s="37">
        <v>2.5132275132275131E-2</v>
      </c>
      <c r="CI125" s="116">
        <f t="shared" ref="CI125" si="17">CH125/$CH$133</f>
        <v>4.05982905982906E-2</v>
      </c>
      <c r="CJ125" s="38"/>
      <c r="CK125" s="39"/>
      <c r="CL125" s="39"/>
      <c r="CM125" s="38"/>
      <c r="CN125" s="38"/>
      <c r="CO125" s="40"/>
      <c r="CP125" s="38"/>
      <c r="CQ125" s="215"/>
      <c r="CR125" s="215"/>
      <c r="CS125" s="215"/>
      <c r="CT125" s="215"/>
      <c r="CU125" s="215"/>
      <c r="CV125" s="215"/>
      <c r="CW125" s="215"/>
      <c r="CX125" s="215"/>
      <c r="CY125" s="215"/>
      <c r="CZ125" s="215"/>
      <c r="DA125" s="215"/>
      <c r="DB125" s="215"/>
      <c r="DC125" s="215"/>
      <c r="DD125" s="215"/>
      <c r="DE125" s="215"/>
      <c r="DF125" s="215"/>
      <c r="DG125" s="215"/>
      <c r="DH125" s="215"/>
      <c r="DI125" s="215"/>
    </row>
    <row r="126" spans="1:113" s="1" customFormat="1" thickBot="1" x14ac:dyDescent="0.35">
      <c r="A126" s="215"/>
      <c r="B126" s="231"/>
      <c r="C126" s="232"/>
      <c r="D126" s="232"/>
      <c r="E126" s="233"/>
      <c r="F126" s="233"/>
      <c r="G126" s="233"/>
      <c r="H126" s="233"/>
      <c r="I126" s="233"/>
      <c r="J126" s="233"/>
      <c r="K126" s="233"/>
      <c r="L126" s="233"/>
      <c r="M126" s="234"/>
      <c r="N126" s="235"/>
      <c r="O126" s="215"/>
      <c r="P126" s="204"/>
      <c r="Q126" s="204"/>
      <c r="R126" s="190"/>
      <c r="S126" s="38"/>
      <c r="T126" s="38"/>
      <c r="U126" s="38"/>
      <c r="V126" s="38"/>
      <c r="W126" s="38"/>
      <c r="X126" s="38"/>
      <c r="Y126" s="38"/>
      <c r="Z126" s="38"/>
      <c r="AA126" s="38"/>
      <c r="AB126" s="109"/>
      <c r="AC126" s="38"/>
      <c r="AD126" s="109"/>
      <c r="AE126" s="109"/>
      <c r="AF126" s="38"/>
      <c r="AG126" s="38"/>
      <c r="AH126" s="377"/>
      <c r="AI126" s="38"/>
      <c r="AJ126" s="377"/>
      <c r="AK126" s="38"/>
      <c r="AL126" s="38"/>
      <c r="AM126" s="38"/>
      <c r="AN126" s="38"/>
      <c r="AO126" s="38"/>
      <c r="AP126" s="38"/>
      <c r="AQ126" s="57"/>
      <c r="AR126" s="38"/>
      <c r="AS126" s="57"/>
      <c r="AT126" s="109"/>
      <c r="AU126" s="117"/>
      <c r="AV126" s="38"/>
      <c r="AW126" s="57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9"/>
      <c r="CG126" s="39"/>
      <c r="CH126" s="37">
        <v>3.0423280423280422E-2</v>
      </c>
      <c r="CI126" s="116">
        <f>CH126/$CH$133</f>
        <v>4.9145299145299151E-2</v>
      </c>
      <c r="CJ126" s="38"/>
      <c r="CK126" s="39"/>
      <c r="CL126" s="39"/>
      <c r="CM126" s="38"/>
      <c r="CN126" s="38"/>
      <c r="CO126" s="40"/>
      <c r="CP126" s="38"/>
      <c r="CQ126" s="215"/>
      <c r="CR126" s="215"/>
      <c r="CS126" s="215"/>
      <c r="CT126" s="215"/>
      <c r="CU126" s="215"/>
      <c r="CV126" s="215"/>
      <c r="CW126" s="215"/>
      <c r="CX126" s="215"/>
      <c r="CY126" s="215"/>
      <c r="CZ126" s="215"/>
      <c r="DA126" s="215"/>
      <c r="DB126" s="215"/>
      <c r="DC126" s="215"/>
      <c r="DD126" s="215"/>
      <c r="DE126" s="215"/>
      <c r="DF126" s="215"/>
      <c r="DG126" s="215"/>
      <c r="DH126" s="215"/>
      <c r="DI126" s="215"/>
    </row>
    <row r="127" spans="1:113" s="1" customFormat="1" ht="18" x14ac:dyDescent="0.3">
      <c r="A127" s="215"/>
      <c r="B127" s="452" t="s">
        <v>9</v>
      </c>
      <c r="C127" s="298" t="s">
        <v>314</v>
      </c>
      <c r="D127" s="262"/>
      <c r="E127" s="457">
        <f>SUMIF($B$39:$B$114,"x",$N$39:$N$114)</f>
        <v>0</v>
      </c>
      <c r="F127" s="458"/>
      <c r="G127" s="458"/>
      <c r="H127" s="458"/>
      <c r="I127" s="458"/>
      <c r="J127" s="458"/>
      <c r="K127" s="458"/>
      <c r="L127" s="459"/>
      <c r="M127" s="236"/>
      <c r="N127" s="237"/>
      <c r="O127" s="215"/>
      <c r="P127" s="204"/>
      <c r="Q127" s="204"/>
      <c r="R127" s="186" t="s">
        <v>4</v>
      </c>
      <c r="S127" s="38"/>
      <c r="T127" s="38"/>
      <c r="U127" s="38"/>
      <c r="V127" s="38"/>
      <c r="W127" s="38"/>
      <c r="X127" s="38"/>
      <c r="Y127" s="38"/>
      <c r="Z127" s="38"/>
      <c r="AA127" s="38"/>
      <c r="AB127" s="109"/>
      <c r="AC127" s="38"/>
      <c r="AD127" s="109"/>
      <c r="AE127" s="109"/>
      <c r="AF127" s="38"/>
      <c r="AG127" s="38"/>
      <c r="AH127" s="377"/>
      <c r="AI127" s="38"/>
      <c r="AJ127" s="377"/>
      <c r="AK127" s="38"/>
      <c r="AL127" s="38"/>
      <c r="AM127" s="38"/>
      <c r="AN127" s="38"/>
      <c r="AO127" s="38"/>
      <c r="AP127" s="38"/>
      <c r="AQ127" s="57"/>
      <c r="AR127" s="38"/>
      <c r="AS127" s="57"/>
      <c r="AT127" s="109"/>
      <c r="AU127" s="117"/>
      <c r="AV127" s="38"/>
      <c r="AW127" s="57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9"/>
      <c r="CG127" s="39"/>
      <c r="CH127" s="37">
        <v>3.439153439153439E-2</v>
      </c>
      <c r="CI127" s="116">
        <f>CH127/$CH$133</f>
        <v>5.5555555555555559E-2</v>
      </c>
      <c r="CJ127" s="38"/>
      <c r="CK127" s="39"/>
      <c r="CL127" s="39"/>
      <c r="CM127" s="38"/>
      <c r="CN127" s="38"/>
      <c r="CO127" s="40"/>
      <c r="CP127" s="38"/>
      <c r="CQ127" s="215"/>
      <c r="CR127" s="215"/>
      <c r="CS127" s="215"/>
      <c r="CT127" s="215"/>
      <c r="CU127" s="215"/>
      <c r="CV127" s="215"/>
      <c r="CW127" s="215"/>
      <c r="CX127" s="215"/>
      <c r="CY127" s="215"/>
      <c r="CZ127" s="215"/>
      <c r="DA127" s="215"/>
      <c r="DB127" s="215"/>
      <c r="DC127" s="215"/>
      <c r="DD127" s="215"/>
      <c r="DE127" s="215"/>
      <c r="DF127" s="215"/>
      <c r="DG127" s="215"/>
      <c r="DH127" s="215"/>
      <c r="DI127" s="215"/>
    </row>
    <row r="128" spans="1:113" s="1" customFormat="1" ht="18" x14ac:dyDescent="0.3">
      <c r="A128" s="215"/>
      <c r="B128" s="453"/>
      <c r="C128" s="302" t="s">
        <v>12</v>
      </c>
      <c r="D128" s="303"/>
      <c r="E128" s="304">
        <f t="shared" ref="E128:L128" si="18">$E$127-E118</f>
        <v>0</v>
      </c>
      <c r="F128" s="393">
        <f t="shared" si="18"/>
        <v>-30</v>
      </c>
      <c r="G128" s="304">
        <f t="shared" si="18"/>
        <v>-45</v>
      </c>
      <c r="H128" s="304">
        <f t="shared" si="18"/>
        <v>-60</v>
      </c>
      <c r="I128" s="304">
        <f t="shared" si="18"/>
        <v>-119</v>
      </c>
      <c r="J128" s="304">
        <f t="shared" si="18"/>
        <v>-149</v>
      </c>
      <c r="K128" s="304">
        <f t="shared" si="18"/>
        <v>-259</v>
      </c>
      <c r="L128" s="305">
        <f t="shared" si="18"/>
        <v>-599</v>
      </c>
      <c r="M128" s="236"/>
      <c r="N128" s="237"/>
      <c r="O128" s="215"/>
      <c r="P128" s="204"/>
      <c r="Q128" s="204"/>
      <c r="R128" s="186" t="s">
        <v>4</v>
      </c>
      <c r="S128" s="38"/>
      <c r="T128" s="38"/>
      <c r="U128" s="38"/>
      <c r="V128" s="38"/>
      <c r="W128" s="38"/>
      <c r="X128" s="38"/>
      <c r="Y128" s="38"/>
      <c r="Z128" s="38"/>
      <c r="AA128" s="38"/>
      <c r="AB128" s="109"/>
      <c r="AC128" s="38"/>
      <c r="AD128" s="109"/>
      <c r="AE128" s="109"/>
      <c r="AF128" s="38"/>
      <c r="AG128" s="38"/>
      <c r="AH128" s="377"/>
      <c r="AI128" s="38"/>
      <c r="AJ128" s="377"/>
      <c r="AK128" s="38"/>
      <c r="AL128" s="38"/>
      <c r="AM128" s="38"/>
      <c r="AN128" s="38"/>
      <c r="AO128" s="38"/>
      <c r="AP128" s="38"/>
      <c r="AQ128" s="57"/>
      <c r="AR128" s="38"/>
      <c r="AS128" s="57"/>
      <c r="AT128" s="109"/>
      <c r="AU128" s="117"/>
      <c r="AV128" s="38"/>
      <c r="AW128" s="57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9"/>
      <c r="CG128" s="39"/>
      <c r="CH128" s="116">
        <v>3.968253968253968E-2</v>
      </c>
      <c r="CI128" s="116">
        <f>CH128/$CH$133</f>
        <v>6.4102564102564111E-2</v>
      </c>
      <c r="CJ128" s="38"/>
      <c r="CK128" s="39"/>
      <c r="CL128" s="39"/>
      <c r="CM128" s="38"/>
      <c r="CN128" s="38"/>
      <c r="CO128" s="40"/>
      <c r="CP128" s="38"/>
      <c r="CQ128" s="215"/>
      <c r="CR128" s="215"/>
      <c r="CS128" s="215"/>
      <c r="CT128" s="215"/>
      <c r="CU128" s="215"/>
      <c r="CV128" s="215"/>
      <c r="CW128" s="215"/>
      <c r="CX128" s="215"/>
      <c r="CY128" s="215"/>
      <c r="CZ128" s="215"/>
      <c r="DA128" s="215"/>
      <c r="DB128" s="215"/>
      <c r="DC128" s="215"/>
      <c r="DD128" s="215"/>
      <c r="DE128" s="215"/>
      <c r="DF128" s="215"/>
      <c r="DG128" s="215"/>
      <c r="DH128" s="215"/>
      <c r="DI128" s="215"/>
    </row>
    <row r="129" spans="1:113" s="1" customFormat="1" thickBot="1" x14ac:dyDescent="0.35">
      <c r="A129" s="215"/>
      <c r="B129" s="454"/>
      <c r="C129" s="263" t="s">
        <v>184</v>
      </c>
      <c r="D129" s="264"/>
      <c r="E129" s="300">
        <f>IFERROR(E128/$E$127,)</f>
        <v>0</v>
      </c>
      <c r="F129" s="394">
        <f t="shared" ref="F129:L129" si="19">IFERROR(F128/$E$127,)</f>
        <v>0</v>
      </c>
      <c r="G129" s="300">
        <f t="shared" si="19"/>
        <v>0</v>
      </c>
      <c r="H129" s="300">
        <f t="shared" si="19"/>
        <v>0</v>
      </c>
      <c r="I129" s="300">
        <f t="shared" si="19"/>
        <v>0</v>
      </c>
      <c r="J129" s="300">
        <f t="shared" si="19"/>
        <v>0</v>
      </c>
      <c r="K129" s="300">
        <f t="shared" si="19"/>
        <v>0</v>
      </c>
      <c r="L129" s="301">
        <f t="shared" si="19"/>
        <v>0</v>
      </c>
      <c r="M129" s="236"/>
      <c r="N129" s="237"/>
      <c r="O129" s="215"/>
      <c r="P129" s="204"/>
      <c r="Q129" s="204"/>
      <c r="R129" s="297"/>
      <c r="S129" s="38"/>
      <c r="T129" s="38"/>
      <c r="U129" s="38"/>
      <c r="V129" s="38"/>
      <c r="W129" s="38"/>
      <c r="X129" s="38"/>
      <c r="Y129" s="38"/>
      <c r="Z129" s="38"/>
      <c r="AA129" s="38"/>
      <c r="AB129" s="109"/>
      <c r="AC129" s="38"/>
      <c r="AD129" s="109"/>
      <c r="AE129" s="109"/>
      <c r="AF129" s="38"/>
      <c r="AG129" s="38"/>
      <c r="AH129" s="377"/>
      <c r="AI129" s="38"/>
      <c r="AJ129" s="377"/>
      <c r="AK129" s="38"/>
      <c r="AL129" s="38"/>
      <c r="AM129" s="38"/>
      <c r="AN129" s="38"/>
      <c r="AO129" s="38"/>
      <c r="AP129" s="38"/>
      <c r="AQ129" s="57"/>
      <c r="AR129" s="38"/>
      <c r="AS129" s="57"/>
      <c r="AT129" s="109"/>
      <c r="AU129" s="117"/>
      <c r="AV129" s="38"/>
      <c r="AW129" s="57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9"/>
      <c r="CG129" s="39"/>
      <c r="CH129" s="116"/>
      <c r="CI129" s="116"/>
      <c r="CJ129" s="38"/>
      <c r="CK129" s="39"/>
      <c r="CL129" s="39"/>
      <c r="CM129" s="38"/>
      <c r="CN129" s="38"/>
      <c r="CO129" s="40"/>
      <c r="CP129" s="38"/>
      <c r="CQ129" s="215"/>
      <c r="CR129" s="215"/>
      <c r="CS129" s="215"/>
      <c r="CT129" s="215"/>
      <c r="CU129" s="215"/>
      <c r="CV129" s="215"/>
      <c r="CW129" s="215"/>
      <c r="CX129" s="215"/>
      <c r="CY129" s="215"/>
      <c r="CZ129" s="215"/>
      <c r="DA129" s="215"/>
      <c r="DB129" s="215"/>
      <c r="DC129" s="215"/>
      <c r="DD129" s="215"/>
      <c r="DE129" s="215"/>
      <c r="DF129" s="215"/>
      <c r="DG129" s="215"/>
      <c r="DH129" s="215"/>
      <c r="DI129" s="215"/>
    </row>
    <row r="130" spans="1:113" s="2" customFormat="1" ht="19.5" thickBot="1" x14ac:dyDescent="0.35">
      <c r="A130" s="204"/>
      <c r="B130" s="240"/>
      <c r="C130" s="204"/>
      <c r="D130" s="204"/>
      <c r="E130" s="228"/>
      <c r="F130" s="228"/>
      <c r="G130" s="228"/>
      <c r="H130" s="228"/>
      <c r="I130" s="228"/>
      <c r="J130" s="228"/>
      <c r="K130" s="228"/>
      <c r="L130" s="228"/>
      <c r="M130" s="223"/>
      <c r="N130" s="224"/>
      <c r="O130" s="204"/>
      <c r="P130" s="204"/>
      <c r="Q130" s="204"/>
      <c r="R130" s="191"/>
      <c r="S130" s="43"/>
      <c r="T130" s="43"/>
      <c r="U130" s="43"/>
      <c r="V130" s="43"/>
      <c r="W130" s="43"/>
      <c r="X130" s="43"/>
      <c r="Y130" s="43"/>
      <c r="Z130" s="43"/>
      <c r="AA130" s="43"/>
      <c r="AB130" s="109"/>
      <c r="AC130" s="43"/>
      <c r="AD130" s="109"/>
      <c r="AE130" s="109"/>
      <c r="AF130" s="43"/>
      <c r="AG130" s="43"/>
      <c r="AH130" s="291"/>
      <c r="AI130" s="43"/>
      <c r="AJ130" s="291"/>
      <c r="AK130" s="43"/>
      <c r="AL130" s="43"/>
      <c r="AM130" s="43"/>
      <c r="AN130" s="43"/>
      <c r="AO130" s="43"/>
      <c r="AP130" s="43"/>
      <c r="AQ130" s="59"/>
      <c r="AR130" s="43"/>
      <c r="AS130" s="59"/>
      <c r="AT130" s="109"/>
      <c r="AU130" s="117"/>
      <c r="AV130" s="43"/>
      <c r="AW130" s="59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4"/>
      <c r="CA130" s="44"/>
      <c r="CB130" s="43"/>
      <c r="CC130" s="43"/>
      <c r="CD130" s="44"/>
      <c r="CE130" s="44"/>
      <c r="CF130" s="43"/>
      <c r="CG130" s="43"/>
      <c r="CH130" s="37">
        <v>4.7619047619047616E-2</v>
      </c>
      <c r="CI130" s="116">
        <f>CH130/$CH$133</f>
        <v>7.6923076923076927E-2</v>
      </c>
      <c r="CJ130" s="43"/>
      <c r="CK130" s="43"/>
      <c r="CL130" s="43"/>
      <c r="CM130" s="44"/>
      <c r="CN130" s="44"/>
      <c r="CO130" s="45"/>
      <c r="CP130" s="43"/>
      <c r="CQ130" s="204"/>
      <c r="CR130" s="204"/>
      <c r="CS130" s="204"/>
      <c r="CT130" s="204"/>
      <c r="CU130" s="204"/>
      <c r="CV130" s="204"/>
      <c r="CW130" s="204"/>
      <c r="CX130" s="204"/>
      <c r="CY130" s="204"/>
      <c r="CZ130" s="204"/>
      <c r="DA130" s="204"/>
      <c r="DB130" s="204"/>
      <c r="DC130" s="204"/>
      <c r="DD130" s="204"/>
      <c r="DE130" s="204"/>
      <c r="DF130" s="204"/>
      <c r="DG130" s="204"/>
      <c r="DH130" s="204"/>
      <c r="DI130" s="204"/>
    </row>
    <row r="131" spans="1:113" s="1" customFormat="1" ht="18" customHeight="1" x14ac:dyDescent="0.3">
      <c r="A131" s="215"/>
      <c r="B131" s="455" t="s">
        <v>10</v>
      </c>
      <c r="C131" s="298" t="s">
        <v>148</v>
      </c>
      <c r="D131" s="262"/>
      <c r="E131" s="267">
        <f t="shared" ref="E131:L131" si="20">SUMIFS($N$39:$N$114,$B$39:$B$114,"",E$39:E$114,"µ")</f>
        <v>0</v>
      </c>
      <c r="F131" s="267">
        <f t="shared" si="20"/>
        <v>44.9</v>
      </c>
      <c r="G131" s="267">
        <f t="shared" si="20"/>
        <v>77.429999999999993</v>
      </c>
      <c r="H131" s="267">
        <f t="shared" si="20"/>
        <v>79.429999999999993</v>
      </c>
      <c r="I131" s="267">
        <f t="shared" si="20"/>
        <v>218.13000000000008</v>
      </c>
      <c r="J131" s="267">
        <f t="shared" si="20"/>
        <v>248.13000000000005</v>
      </c>
      <c r="K131" s="267">
        <f t="shared" si="20"/>
        <v>382.93</v>
      </c>
      <c r="L131" s="268">
        <f t="shared" si="20"/>
        <v>722.93000000000006</v>
      </c>
      <c r="M131" s="236"/>
      <c r="N131" s="237"/>
      <c r="O131" s="215"/>
      <c r="P131" s="204"/>
      <c r="Q131" s="204"/>
      <c r="R131" s="186" t="s">
        <v>4</v>
      </c>
      <c r="S131" s="38"/>
      <c r="T131" s="38"/>
      <c r="U131" s="38"/>
      <c r="V131" s="38"/>
      <c r="W131" s="38"/>
      <c r="X131" s="38"/>
      <c r="Y131" s="38"/>
      <c r="Z131" s="38"/>
      <c r="AA131" s="38"/>
      <c r="AB131" s="109"/>
      <c r="AC131" s="41"/>
      <c r="AD131" s="109"/>
      <c r="AE131" s="109"/>
      <c r="AF131" s="41"/>
      <c r="AG131" s="38"/>
      <c r="AH131" s="377"/>
      <c r="AI131" s="38"/>
      <c r="AJ131" s="377"/>
      <c r="AK131" s="38"/>
      <c r="AL131" s="38"/>
      <c r="AM131" s="38"/>
      <c r="AN131" s="38"/>
      <c r="AO131" s="38"/>
      <c r="AP131" s="41" t="s">
        <v>95</v>
      </c>
      <c r="AQ131" s="58"/>
      <c r="AR131" s="41"/>
      <c r="AS131" s="58"/>
      <c r="AT131" s="109"/>
      <c r="AU131" s="117"/>
      <c r="AV131" s="41"/>
      <c r="AW131" s="58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38"/>
      <c r="BY131" s="38"/>
      <c r="BZ131" s="38"/>
      <c r="CA131" s="38"/>
      <c r="CB131" s="38"/>
      <c r="CC131" s="38"/>
      <c r="CD131" s="38"/>
      <c r="CE131" s="38"/>
      <c r="CF131" s="39"/>
      <c r="CG131" s="39"/>
      <c r="CH131" s="37">
        <v>5.1587301587301584E-2</v>
      </c>
      <c r="CI131" s="116">
        <f>CH131/$CH$133</f>
        <v>8.3333333333333343E-2</v>
      </c>
      <c r="CJ131" s="38"/>
      <c r="CK131" s="39"/>
      <c r="CL131" s="39"/>
      <c r="CM131" s="38"/>
      <c r="CN131" s="38"/>
      <c r="CO131" s="40"/>
      <c r="CP131" s="38"/>
      <c r="CQ131" s="215"/>
      <c r="CR131" s="215"/>
      <c r="CS131" s="215"/>
      <c r="CT131" s="215"/>
      <c r="CU131" s="215"/>
      <c r="CV131" s="215"/>
      <c r="CW131" s="215"/>
      <c r="CX131" s="215"/>
      <c r="CY131" s="215"/>
      <c r="CZ131" s="215"/>
      <c r="DA131" s="215"/>
      <c r="DB131" s="215"/>
      <c r="DC131" s="215"/>
      <c r="DD131" s="215"/>
      <c r="DE131" s="215"/>
      <c r="DF131" s="215"/>
      <c r="DG131" s="215"/>
      <c r="DH131" s="215"/>
      <c r="DI131" s="215"/>
    </row>
    <row r="132" spans="1:113" s="1" customFormat="1" thickBot="1" x14ac:dyDescent="0.35">
      <c r="A132" s="215"/>
      <c r="B132" s="456"/>
      <c r="C132" s="299" t="s">
        <v>315</v>
      </c>
      <c r="D132" s="264"/>
      <c r="E132" s="265">
        <f t="shared" ref="E132:L132" si="21">$E$127+E131</f>
        <v>0</v>
      </c>
      <c r="F132" s="265">
        <f>$E$127+F131</f>
        <v>44.9</v>
      </c>
      <c r="G132" s="265">
        <f>$E$127+G131</f>
        <v>77.429999999999993</v>
      </c>
      <c r="H132" s="265">
        <f>$E$127+H131</f>
        <v>79.429999999999993</v>
      </c>
      <c r="I132" s="265">
        <f t="shared" si="21"/>
        <v>218.13000000000008</v>
      </c>
      <c r="J132" s="265">
        <f t="shared" ref="J132" si="22">$E$127+J131</f>
        <v>248.13000000000005</v>
      </c>
      <c r="K132" s="265">
        <f t="shared" si="21"/>
        <v>382.93</v>
      </c>
      <c r="L132" s="266">
        <f t="shared" si="21"/>
        <v>722.93000000000006</v>
      </c>
      <c r="M132" s="236"/>
      <c r="N132" s="237"/>
      <c r="O132" s="215"/>
      <c r="P132" s="204"/>
      <c r="Q132" s="204"/>
      <c r="R132" s="186" t="s">
        <v>4</v>
      </c>
      <c r="S132" s="38"/>
      <c r="T132" s="38"/>
      <c r="U132" s="38"/>
      <c r="V132" s="38"/>
      <c r="W132" s="38"/>
      <c r="X132" s="38"/>
      <c r="Y132" s="38"/>
      <c r="Z132" s="38"/>
      <c r="AA132" s="38" t="s">
        <v>94</v>
      </c>
      <c r="AB132" s="109"/>
      <c r="AC132" s="38"/>
      <c r="AD132" s="109"/>
      <c r="AE132" s="109"/>
      <c r="AF132" s="38"/>
      <c r="AG132" s="38"/>
      <c r="AH132" s="377"/>
      <c r="AI132" s="38"/>
      <c r="AJ132" s="377"/>
      <c r="AK132" s="38"/>
      <c r="AL132" s="38"/>
      <c r="AM132" s="38"/>
      <c r="AN132" s="38"/>
      <c r="AO132" s="38"/>
      <c r="AP132" s="38" t="s">
        <v>94</v>
      </c>
      <c r="AQ132" s="57"/>
      <c r="AR132" s="38"/>
      <c r="AS132" s="57"/>
      <c r="AT132" s="109"/>
      <c r="AU132" s="117"/>
      <c r="AV132" s="38"/>
      <c r="AW132" s="57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9"/>
      <c r="CG132" s="39"/>
      <c r="CH132" s="37">
        <v>0.23809523809523808</v>
      </c>
      <c r="CI132" s="116">
        <f>CH132/$CH$133</f>
        <v>0.38461538461538464</v>
      </c>
      <c r="CJ132" s="38"/>
      <c r="CK132" s="39"/>
      <c r="CL132" s="39"/>
      <c r="CM132" s="38"/>
      <c r="CN132" s="38"/>
      <c r="CO132" s="40"/>
      <c r="CP132" s="38"/>
      <c r="CQ132" s="215"/>
      <c r="CR132" s="215"/>
      <c r="CS132" s="215"/>
      <c r="CT132" s="215"/>
      <c r="CU132" s="215"/>
      <c r="CV132" s="215"/>
      <c r="CW132" s="215"/>
      <c r="CX132" s="215"/>
      <c r="CY132" s="215"/>
      <c r="CZ132" s="215"/>
      <c r="DA132" s="215"/>
      <c r="DB132" s="215"/>
      <c r="DC132" s="215"/>
      <c r="DD132" s="215"/>
      <c r="DE132" s="215"/>
      <c r="DF132" s="215"/>
      <c r="DG132" s="215"/>
      <c r="DH132" s="215"/>
      <c r="DI132" s="215"/>
    </row>
    <row r="133" spans="1:113" s="1" customFormat="1" ht="18" x14ac:dyDescent="0.3">
      <c r="A133" s="215"/>
      <c r="B133" s="455" t="s">
        <v>185</v>
      </c>
      <c r="C133" s="302" t="s">
        <v>149</v>
      </c>
      <c r="D133" s="303"/>
      <c r="E133" s="304">
        <f t="shared" ref="E133:L133" si="23">E132-E118</f>
        <v>0</v>
      </c>
      <c r="F133" s="304">
        <f t="shared" si="23"/>
        <v>14.899999999999999</v>
      </c>
      <c r="G133" s="304">
        <f t="shared" si="23"/>
        <v>32.429999999999993</v>
      </c>
      <c r="H133" s="304">
        <f t="shared" si="23"/>
        <v>19.429999999999993</v>
      </c>
      <c r="I133" s="304">
        <f t="shared" si="23"/>
        <v>99.130000000000081</v>
      </c>
      <c r="J133" s="304">
        <f t="shared" si="23"/>
        <v>99.130000000000052</v>
      </c>
      <c r="K133" s="304">
        <f t="shared" si="23"/>
        <v>123.93</v>
      </c>
      <c r="L133" s="305">
        <f t="shared" si="23"/>
        <v>123.93000000000006</v>
      </c>
      <c r="M133" s="236"/>
      <c r="N133" s="237"/>
      <c r="O133" s="215"/>
      <c r="P133" s="204"/>
      <c r="Q133" s="204"/>
      <c r="R133" s="186" t="s">
        <v>4</v>
      </c>
      <c r="S133" s="38"/>
      <c r="T133" s="38"/>
      <c r="U133" s="38"/>
      <c r="V133" s="38"/>
      <c r="W133" s="38"/>
      <c r="X133" s="38"/>
      <c r="Y133" s="38"/>
      <c r="Z133" s="38"/>
      <c r="AA133" s="42">
        <f>AA141+AC142*AG141</f>
        <v>37504.558139534885</v>
      </c>
      <c r="AB133" s="38"/>
      <c r="AC133" s="38"/>
      <c r="AD133" s="38"/>
      <c r="AE133" s="38"/>
      <c r="AF133" s="38"/>
      <c r="AG133" s="38"/>
      <c r="AH133" s="377"/>
      <c r="AI133" s="38"/>
      <c r="AJ133" s="377"/>
      <c r="AK133" s="38"/>
      <c r="AL133" s="38"/>
      <c r="AM133" s="38"/>
      <c r="AN133" s="38"/>
      <c r="AO133" s="38"/>
      <c r="AP133" s="42" t="e">
        <f>AT141+AT$170*#REF!</f>
        <v>#REF!</v>
      </c>
      <c r="AQ133" s="57"/>
      <c r="AR133" s="38"/>
      <c r="AS133" s="57"/>
      <c r="AT133" s="38"/>
      <c r="AU133" s="57"/>
      <c r="AV133" s="38"/>
      <c r="AW133" s="57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9"/>
      <c r="CG133" s="39"/>
      <c r="CH133" s="37">
        <f>SUM(CH118:CH132)</f>
        <v>0.61904761904761896</v>
      </c>
      <c r="CI133" s="116">
        <f>CH133/$CH$133</f>
        <v>1</v>
      </c>
      <c r="CJ133" s="38"/>
      <c r="CK133" s="39"/>
      <c r="CL133" s="39"/>
      <c r="CM133" s="38"/>
      <c r="CN133" s="38"/>
      <c r="CO133" s="40"/>
      <c r="CP133" s="38"/>
      <c r="CQ133" s="215"/>
      <c r="CR133" s="215"/>
      <c r="CS133" s="215"/>
      <c r="CT133" s="215"/>
      <c r="CU133" s="215"/>
      <c r="CV133" s="215"/>
      <c r="CW133" s="215"/>
      <c r="CX133" s="215"/>
      <c r="CY133" s="215"/>
      <c r="CZ133" s="215"/>
      <c r="DA133" s="215"/>
      <c r="DB133" s="215"/>
      <c r="DC133" s="215"/>
      <c r="DD133" s="215"/>
      <c r="DE133" s="215"/>
      <c r="DF133" s="215"/>
      <c r="DG133" s="215"/>
      <c r="DH133" s="215"/>
      <c r="DI133" s="215"/>
    </row>
    <row r="134" spans="1:113" s="1" customFormat="1" thickBot="1" x14ac:dyDescent="0.35">
      <c r="A134" s="215"/>
      <c r="B134" s="456"/>
      <c r="C134" s="263" t="s">
        <v>184</v>
      </c>
      <c r="D134" s="264"/>
      <c r="E134" s="300">
        <f>IFERROR(E133/E132,)</f>
        <v>0</v>
      </c>
      <c r="F134" s="300">
        <f t="shared" ref="F134:L134" si="24">IFERROR(F133/F132,)</f>
        <v>0.33184855233853006</v>
      </c>
      <c r="G134" s="300">
        <f t="shared" si="24"/>
        <v>0.41882991088725297</v>
      </c>
      <c r="H134" s="300">
        <f t="shared" si="24"/>
        <v>0.24461790255570937</v>
      </c>
      <c r="I134" s="300">
        <f t="shared" si="24"/>
        <v>0.45445376610278293</v>
      </c>
      <c r="J134" s="300">
        <f t="shared" si="24"/>
        <v>0.39950832225043337</v>
      </c>
      <c r="K134" s="300">
        <f t="shared" si="24"/>
        <v>0.32363617371321129</v>
      </c>
      <c r="L134" s="301">
        <f t="shared" si="24"/>
        <v>0.17142738577732292</v>
      </c>
      <c r="M134" s="236"/>
      <c r="N134" s="237"/>
      <c r="O134" s="215"/>
      <c r="P134" s="204"/>
      <c r="Q134" s="204"/>
      <c r="R134" s="297"/>
      <c r="S134" s="38"/>
      <c r="T134" s="38"/>
      <c r="U134" s="38"/>
      <c r="V134" s="38"/>
      <c r="W134" s="38"/>
      <c r="X134" s="38"/>
      <c r="Y134" s="38"/>
      <c r="Z134" s="38"/>
      <c r="AA134" s="38"/>
      <c r="AB134" s="109"/>
      <c r="AC134" s="38"/>
      <c r="AD134" s="109"/>
      <c r="AE134" s="109"/>
      <c r="AF134" s="38"/>
      <c r="AG134" s="38"/>
      <c r="AH134" s="377"/>
      <c r="AI134" s="38"/>
      <c r="AJ134" s="377"/>
      <c r="AK134" s="38"/>
      <c r="AL134" s="38"/>
      <c r="AM134" s="38"/>
      <c r="AN134" s="38"/>
      <c r="AO134" s="38"/>
      <c r="AP134" s="38"/>
      <c r="AQ134" s="57"/>
      <c r="AR134" s="38"/>
      <c r="AS134" s="57"/>
      <c r="AT134" s="109"/>
      <c r="AU134" s="117"/>
      <c r="AV134" s="38"/>
      <c r="AW134" s="57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9"/>
      <c r="CG134" s="39"/>
      <c r="CH134" s="116"/>
      <c r="CI134" s="116"/>
      <c r="CJ134" s="38"/>
      <c r="CK134" s="39"/>
      <c r="CL134" s="39"/>
      <c r="CM134" s="38"/>
      <c r="CN134" s="38"/>
      <c r="CO134" s="40"/>
      <c r="CP134" s="38"/>
      <c r="CQ134" s="215"/>
      <c r="CR134" s="215"/>
      <c r="CS134" s="215"/>
      <c r="CT134" s="215"/>
      <c r="CU134" s="215"/>
      <c r="CV134" s="215"/>
      <c r="CW134" s="215"/>
      <c r="CX134" s="215"/>
      <c r="CY134" s="215"/>
      <c r="CZ134" s="215"/>
      <c r="DA134" s="215"/>
      <c r="DB134" s="215"/>
      <c r="DC134" s="215"/>
      <c r="DD134" s="215"/>
      <c r="DE134" s="215"/>
      <c r="DF134" s="215"/>
      <c r="DG134" s="215"/>
      <c r="DH134" s="215"/>
      <c r="DI134" s="215"/>
    </row>
    <row r="135" spans="1:113" s="2" customFormat="1" x14ac:dyDescent="0.3">
      <c r="A135" s="204"/>
      <c r="B135" s="240"/>
      <c r="C135" s="204"/>
      <c r="D135" s="204"/>
      <c r="E135" s="228"/>
      <c r="F135" s="228"/>
      <c r="G135" s="228"/>
      <c r="H135" s="228"/>
      <c r="I135" s="228"/>
      <c r="J135" s="228"/>
      <c r="K135" s="228"/>
      <c r="L135" s="228"/>
      <c r="M135" s="223"/>
      <c r="N135" s="224"/>
      <c r="O135" s="204"/>
      <c r="P135" s="204"/>
      <c r="Q135" s="204"/>
      <c r="R135" s="191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4"/>
      <c r="AF135" s="43"/>
      <c r="AG135" s="43"/>
      <c r="AH135" s="291"/>
      <c r="AI135" s="43"/>
      <c r="AJ135" s="291"/>
      <c r="AK135" s="43"/>
      <c r="AL135" s="43"/>
      <c r="AM135" s="43"/>
      <c r="AN135" s="43"/>
      <c r="AO135" s="43"/>
      <c r="AP135" s="43"/>
      <c r="AQ135" s="59"/>
      <c r="AR135" s="43"/>
      <c r="AS135" s="59"/>
      <c r="AT135" s="43"/>
      <c r="AU135" s="59"/>
      <c r="AV135" s="43"/>
      <c r="AW135" s="59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4"/>
      <c r="CA135" s="44"/>
      <c r="CB135" s="43"/>
      <c r="CC135" s="43"/>
      <c r="CD135" s="44"/>
      <c r="CE135" s="44"/>
      <c r="CF135" s="43"/>
      <c r="CG135" s="43"/>
      <c r="CH135" s="44"/>
      <c r="CI135" s="44"/>
      <c r="CJ135" s="43"/>
      <c r="CK135" s="43"/>
      <c r="CL135" s="43"/>
      <c r="CM135" s="44"/>
      <c r="CN135" s="44"/>
      <c r="CO135" s="45"/>
      <c r="CP135" s="43"/>
      <c r="CQ135" s="204"/>
      <c r="CR135" s="204"/>
      <c r="CS135" s="204"/>
      <c r="CT135" s="204"/>
      <c r="CU135" s="204"/>
      <c r="CV135" s="204"/>
      <c r="CW135" s="204"/>
      <c r="CX135" s="204"/>
      <c r="CY135" s="204"/>
      <c r="CZ135" s="204"/>
      <c r="DA135" s="204"/>
      <c r="DB135" s="204"/>
      <c r="DC135" s="204"/>
      <c r="DD135" s="204"/>
      <c r="DE135" s="204"/>
      <c r="DF135" s="204"/>
      <c r="DG135" s="204"/>
      <c r="DH135" s="204"/>
      <c r="DI135" s="204"/>
    </row>
    <row r="136" spans="1:113" s="2" customFormat="1" collapsed="1" x14ac:dyDescent="0.3">
      <c r="A136" s="216"/>
      <c r="B136" s="204"/>
      <c r="C136" s="204"/>
      <c r="D136" s="204"/>
      <c r="E136" s="228"/>
      <c r="F136" s="228"/>
      <c r="G136" s="228"/>
      <c r="H136" s="228"/>
      <c r="I136" s="241"/>
      <c r="J136" s="241"/>
      <c r="K136" s="225" t="s">
        <v>169</v>
      </c>
      <c r="L136" s="238"/>
      <c r="M136" s="239"/>
      <c r="N136" s="239"/>
      <c r="O136" s="204"/>
      <c r="P136" s="239"/>
      <c r="Q136" s="239"/>
      <c r="R136" s="192"/>
      <c r="S136" s="43"/>
      <c r="T136" s="43"/>
      <c r="U136" s="43"/>
      <c r="V136" s="43"/>
      <c r="W136" s="43"/>
      <c r="X136" s="43"/>
      <c r="Y136" s="43"/>
      <c r="Z136" s="43"/>
      <c r="AA136" s="451" t="s">
        <v>130</v>
      </c>
      <c r="AB136" s="451"/>
      <c r="AC136" s="43"/>
      <c r="AD136" s="43"/>
      <c r="AE136" s="44"/>
      <c r="AF136" s="43"/>
      <c r="AG136" s="43"/>
      <c r="AH136" s="460" t="s">
        <v>216</v>
      </c>
      <c r="AI136" s="460"/>
      <c r="AJ136" s="461" t="s">
        <v>217</v>
      </c>
      <c r="AK136" s="461"/>
      <c r="AL136" s="448" t="s">
        <v>357</v>
      </c>
      <c r="AM136" s="449"/>
      <c r="AN136" s="449"/>
      <c r="AO136" s="450"/>
      <c r="AP136" s="448" t="s">
        <v>127</v>
      </c>
      <c r="AQ136" s="449"/>
      <c r="AR136" s="449"/>
      <c r="AS136" s="450"/>
      <c r="AT136" s="448" t="s">
        <v>128</v>
      </c>
      <c r="AU136" s="449"/>
      <c r="AV136" s="449"/>
      <c r="AW136" s="450"/>
      <c r="AX136" s="43"/>
      <c r="AY136" s="43"/>
      <c r="AZ136" s="443" t="s">
        <v>204</v>
      </c>
      <c r="BA136" s="443"/>
      <c r="BB136" s="443"/>
      <c r="BC136" s="443"/>
      <c r="BD136" s="443"/>
      <c r="BE136" s="443"/>
      <c r="BF136" s="443"/>
      <c r="BG136" s="443"/>
      <c r="BH136" s="443" t="s">
        <v>182</v>
      </c>
      <c r="BI136" s="443"/>
      <c r="BJ136" s="443"/>
      <c r="BK136" s="443"/>
      <c r="BL136" s="443"/>
      <c r="BM136" s="443"/>
      <c r="BN136" s="443"/>
      <c r="BO136" s="443"/>
      <c r="BP136" s="443" t="s">
        <v>170</v>
      </c>
      <c r="BQ136" s="443"/>
      <c r="BR136" s="443"/>
      <c r="BS136" s="443"/>
      <c r="BT136" s="443"/>
      <c r="BU136" s="443"/>
      <c r="BV136" s="443"/>
      <c r="BW136" s="443"/>
      <c r="BX136" s="445" t="s">
        <v>119</v>
      </c>
      <c r="BY136" s="446"/>
      <c r="BZ136" s="446"/>
      <c r="CA136" s="447"/>
      <c r="CB136" s="445" t="s">
        <v>50</v>
      </c>
      <c r="CC136" s="446"/>
      <c r="CD136" s="446"/>
      <c r="CE136" s="447"/>
      <c r="CF136" s="445" t="s">
        <v>52</v>
      </c>
      <c r="CG136" s="446"/>
      <c r="CH136" s="446"/>
      <c r="CI136" s="446"/>
      <c r="CJ136" s="443" t="s">
        <v>51</v>
      </c>
      <c r="CK136" s="443"/>
      <c r="CL136" s="443"/>
      <c r="CM136" s="443"/>
      <c r="CN136" s="443"/>
      <c r="CO136" s="443" t="s">
        <v>53</v>
      </c>
      <c r="CP136" s="443"/>
      <c r="CQ136" s="204"/>
      <c r="CR136" s="204"/>
      <c r="CS136" s="204"/>
      <c r="CT136" s="204"/>
      <c r="CU136" s="204"/>
      <c r="CV136" s="204"/>
      <c r="CW136" s="204"/>
      <c r="CX136" s="204"/>
      <c r="CY136" s="204"/>
      <c r="CZ136" s="204"/>
      <c r="DA136" s="204"/>
      <c r="DB136" s="204"/>
      <c r="DC136" s="204"/>
      <c r="DD136" s="204"/>
      <c r="DE136" s="204"/>
      <c r="DF136" s="204"/>
      <c r="DG136" s="204"/>
      <c r="DH136" s="204"/>
      <c r="DI136" s="204"/>
    </row>
    <row r="137" spans="1:113" s="2" customFormat="1" x14ac:dyDescent="0.3">
      <c r="A137" s="216"/>
      <c r="B137" s="242" t="s">
        <v>218</v>
      </c>
      <c r="C137" s="204"/>
      <c r="D137" s="204"/>
      <c r="E137" s="228"/>
      <c r="F137" s="386" t="s">
        <v>19</v>
      </c>
      <c r="G137" s="272" t="s">
        <v>19</v>
      </c>
      <c r="H137" s="222" t="s">
        <v>19</v>
      </c>
      <c r="I137" s="410" t="s">
        <v>19</v>
      </c>
      <c r="J137" s="271" t="s">
        <v>19</v>
      </c>
      <c r="K137" s="269" t="s">
        <v>19</v>
      </c>
      <c r="L137" s="270" t="s">
        <v>19</v>
      </c>
      <c r="M137" s="349" t="s">
        <v>19</v>
      </c>
      <c r="N137" s="286" t="s">
        <v>19</v>
      </c>
      <c r="O137" s="204"/>
      <c r="P137" s="386"/>
      <c r="Q137" s="386"/>
      <c r="R137" s="192"/>
      <c r="S137" s="43"/>
      <c r="T137" s="118" t="s">
        <v>34</v>
      </c>
      <c r="U137" s="118" t="s">
        <v>35</v>
      </c>
      <c r="V137" s="118" t="s">
        <v>17</v>
      </c>
      <c r="W137" s="118" t="s">
        <v>37</v>
      </c>
      <c r="X137" s="118" t="s">
        <v>36</v>
      </c>
      <c r="Y137" s="118" t="s">
        <v>38</v>
      </c>
      <c r="Z137" s="118" t="s">
        <v>39</v>
      </c>
      <c r="AA137" s="118" t="s">
        <v>40</v>
      </c>
      <c r="AB137" s="118" t="s">
        <v>43</v>
      </c>
      <c r="AC137" s="118" t="s">
        <v>47</v>
      </c>
      <c r="AD137" s="118" t="s">
        <v>42</v>
      </c>
      <c r="AE137" s="119" t="s">
        <v>44</v>
      </c>
      <c r="AF137" s="118" t="s">
        <v>49</v>
      </c>
      <c r="AG137" s="118" t="s">
        <v>48</v>
      </c>
      <c r="AH137" s="379" t="s">
        <v>129</v>
      </c>
      <c r="AI137" s="120" t="s">
        <v>43</v>
      </c>
      <c r="AJ137" s="381" t="s">
        <v>129</v>
      </c>
      <c r="AK137" s="372" t="s">
        <v>43</v>
      </c>
      <c r="AL137" s="118" t="s">
        <v>129</v>
      </c>
      <c r="AM137" s="120" t="s">
        <v>41</v>
      </c>
      <c r="AN137" s="118" t="s">
        <v>43</v>
      </c>
      <c r="AO137" s="120" t="s">
        <v>41</v>
      </c>
      <c r="AP137" s="118" t="s">
        <v>129</v>
      </c>
      <c r="AQ137" s="120" t="s">
        <v>41</v>
      </c>
      <c r="AR137" s="118" t="s">
        <v>43</v>
      </c>
      <c r="AS137" s="120" t="s">
        <v>41</v>
      </c>
      <c r="AT137" s="118" t="s">
        <v>129</v>
      </c>
      <c r="AU137" s="120" t="s">
        <v>41</v>
      </c>
      <c r="AV137" s="118" t="s">
        <v>43</v>
      </c>
      <c r="AW137" s="120" t="s">
        <v>41</v>
      </c>
      <c r="AX137" s="118" t="s">
        <v>45</v>
      </c>
      <c r="AY137" s="118" t="s">
        <v>46</v>
      </c>
      <c r="AZ137" s="118" t="s">
        <v>19</v>
      </c>
      <c r="BA137" s="118" t="s">
        <v>18</v>
      </c>
      <c r="BB137" s="118"/>
      <c r="BC137" s="118"/>
      <c r="BD137" s="118" t="s">
        <v>19</v>
      </c>
      <c r="BE137" s="118" t="s">
        <v>92</v>
      </c>
      <c r="BF137" s="119" t="s">
        <v>18</v>
      </c>
      <c r="BG137" s="119" t="s">
        <v>93</v>
      </c>
      <c r="BH137" s="118" t="s">
        <v>19</v>
      </c>
      <c r="BI137" s="118" t="s">
        <v>18</v>
      </c>
      <c r="BJ137" s="118"/>
      <c r="BK137" s="118"/>
      <c r="BL137" s="118" t="s">
        <v>19</v>
      </c>
      <c r="BM137" s="118" t="s">
        <v>92</v>
      </c>
      <c r="BN137" s="119" t="s">
        <v>18</v>
      </c>
      <c r="BO137" s="119" t="s">
        <v>93</v>
      </c>
      <c r="BP137" s="118" t="s">
        <v>19</v>
      </c>
      <c r="BQ137" s="118" t="s">
        <v>18</v>
      </c>
      <c r="BR137" s="118"/>
      <c r="BS137" s="118"/>
      <c r="BT137" s="118" t="s">
        <v>19</v>
      </c>
      <c r="BU137" s="118" t="s">
        <v>92</v>
      </c>
      <c r="BV137" s="119" t="s">
        <v>18</v>
      </c>
      <c r="BW137" s="119" t="s">
        <v>93</v>
      </c>
      <c r="BX137" s="118" t="s">
        <v>19</v>
      </c>
      <c r="BY137" s="118" t="s">
        <v>92</v>
      </c>
      <c r="BZ137" s="119" t="s">
        <v>18</v>
      </c>
      <c r="CA137" s="119" t="s">
        <v>93</v>
      </c>
      <c r="CB137" s="118" t="s">
        <v>19</v>
      </c>
      <c r="CC137" s="118" t="s">
        <v>92</v>
      </c>
      <c r="CD137" s="119" t="s">
        <v>18</v>
      </c>
      <c r="CE137" s="119" t="s">
        <v>93</v>
      </c>
      <c r="CF137" s="118" t="s">
        <v>19</v>
      </c>
      <c r="CG137" s="118" t="s">
        <v>92</v>
      </c>
      <c r="CH137" s="119" t="s">
        <v>18</v>
      </c>
      <c r="CI137" s="119" t="s">
        <v>93</v>
      </c>
      <c r="CJ137" s="118" t="s">
        <v>120</v>
      </c>
      <c r="CK137" s="118" t="s">
        <v>19</v>
      </c>
      <c r="CL137" s="118" t="s">
        <v>92</v>
      </c>
      <c r="CM137" s="119" t="s">
        <v>18</v>
      </c>
      <c r="CN137" s="119" t="s">
        <v>93</v>
      </c>
      <c r="CO137" s="121" t="s">
        <v>19</v>
      </c>
      <c r="CP137" s="118" t="s">
        <v>54</v>
      </c>
      <c r="CQ137" s="204"/>
      <c r="CR137" s="204"/>
      <c r="CS137" s="204"/>
      <c r="CT137" s="204"/>
      <c r="CU137" s="204"/>
      <c r="CV137" s="204"/>
      <c r="CW137" s="204"/>
      <c r="CX137" s="204"/>
      <c r="CY137" s="204"/>
      <c r="CZ137" s="204"/>
      <c r="DA137" s="204"/>
      <c r="DB137" s="204"/>
      <c r="DC137" s="204"/>
      <c r="DD137" s="204"/>
      <c r="DE137" s="204"/>
      <c r="DF137" s="204"/>
      <c r="DG137" s="204"/>
      <c r="DH137" s="204"/>
      <c r="DI137" s="204"/>
    </row>
    <row r="138" spans="1:113" s="122" customFormat="1" x14ac:dyDescent="0.3">
      <c r="A138" s="217"/>
      <c r="B138" s="225"/>
      <c r="C138" s="225"/>
      <c r="D138" s="407" t="s">
        <v>34</v>
      </c>
      <c r="E138" s="225" t="s">
        <v>17</v>
      </c>
      <c r="F138" s="386" t="s">
        <v>98</v>
      </c>
      <c r="G138" s="272" t="s">
        <v>96</v>
      </c>
      <c r="H138" s="222" t="s">
        <v>97</v>
      </c>
      <c r="I138" s="410" t="s">
        <v>325</v>
      </c>
      <c r="J138" s="271" t="s">
        <v>182</v>
      </c>
      <c r="K138" s="269" t="s">
        <v>168</v>
      </c>
      <c r="L138" s="270" t="s">
        <v>172</v>
      </c>
      <c r="M138" s="349" t="s">
        <v>219</v>
      </c>
      <c r="N138" s="286" t="s">
        <v>154</v>
      </c>
      <c r="O138" s="204"/>
      <c r="P138" s="386"/>
      <c r="Q138" s="386"/>
      <c r="R138" s="193"/>
      <c r="S138" s="123"/>
      <c r="T138" s="124">
        <v>0</v>
      </c>
      <c r="U138" s="125">
        <f>WEEKDAY(V138)</f>
        <v>4</v>
      </c>
      <c r="V138" s="126">
        <v>44944</v>
      </c>
      <c r="W138" s="127">
        <v>0.75</v>
      </c>
      <c r="X138" s="128">
        <f t="shared" ref="X138:X160" si="25">V138+W138</f>
        <v>44944.75</v>
      </c>
      <c r="Y138" s="129"/>
      <c r="Z138" s="129"/>
      <c r="AA138" s="130">
        <v>0</v>
      </c>
      <c r="AB138" s="67">
        <v>0</v>
      </c>
      <c r="AC138" s="131"/>
      <c r="AD138" s="132"/>
      <c r="AE138" s="133"/>
      <c r="AF138" s="134"/>
      <c r="AG138" s="133"/>
      <c r="AH138" s="380">
        <f>AA138</f>
        <v>0</v>
      </c>
      <c r="AI138" s="370">
        <f>AB138</f>
        <v>0</v>
      </c>
      <c r="AJ138" s="380">
        <f>AA138</f>
        <v>0</v>
      </c>
      <c r="AK138" s="370">
        <f>AB138</f>
        <v>0</v>
      </c>
      <c r="AL138" s="132">
        <f>AQ138</f>
        <v>0</v>
      </c>
      <c r="AM138" s="135"/>
      <c r="AN138" s="93"/>
      <c r="AO138" s="105"/>
      <c r="AP138" s="132">
        <f>AU138</f>
        <v>0</v>
      </c>
      <c r="AQ138" s="135"/>
      <c r="AR138" s="93"/>
      <c r="AS138" s="105"/>
      <c r="AT138" s="132"/>
      <c r="AU138" s="135"/>
      <c r="AV138" s="93"/>
      <c r="AW138" s="105"/>
      <c r="AX138" s="132"/>
      <c r="AY138" s="132"/>
      <c r="AZ138" s="130">
        <v>0</v>
      </c>
      <c r="BA138" s="67">
        <v>0</v>
      </c>
      <c r="BB138" s="145"/>
      <c r="BC138" s="145"/>
      <c r="BD138" s="132"/>
      <c r="BE138" s="132"/>
      <c r="BF138" s="132"/>
      <c r="BG138" s="132"/>
      <c r="BH138" s="130">
        <v>0</v>
      </c>
      <c r="BI138" s="67">
        <v>0</v>
      </c>
      <c r="BJ138" s="145"/>
      <c r="BK138" s="145"/>
      <c r="BL138" s="132"/>
      <c r="BM138" s="132"/>
      <c r="BN138" s="132"/>
      <c r="BO138" s="132"/>
      <c r="BP138" s="130">
        <v>0</v>
      </c>
      <c r="BQ138" s="67">
        <v>0</v>
      </c>
      <c r="BR138" s="145"/>
      <c r="BS138" s="145"/>
      <c r="BT138" s="132"/>
      <c r="BU138" s="132"/>
      <c r="BV138" s="132"/>
      <c r="BW138" s="132"/>
      <c r="BX138" s="136">
        <v>0</v>
      </c>
      <c r="BY138" s="136">
        <v>0</v>
      </c>
      <c r="BZ138" s="137">
        <v>0</v>
      </c>
      <c r="CA138" s="137"/>
      <c r="CB138" s="136">
        <v>0</v>
      </c>
      <c r="CC138" s="136">
        <v>0</v>
      </c>
      <c r="CD138" s="137">
        <v>0</v>
      </c>
      <c r="CE138" s="137"/>
      <c r="CF138" s="136">
        <f>AX138/$AA$160</f>
        <v>0</v>
      </c>
      <c r="CG138" s="136">
        <f>CF138</f>
        <v>0</v>
      </c>
      <c r="CH138" s="137">
        <f>BX138/$AB$168</f>
        <v>0</v>
      </c>
      <c r="CI138" s="137"/>
      <c r="CJ138" s="138">
        <f>Vergleich!C3</f>
        <v>0</v>
      </c>
      <c r="CK138" s="79"/>
      <c r="CL138" s="136">
        <f>CK138</f>
        <v>0</v>
      </c>
      <c r="CM138" s="139"/>
      <c r="CN138" s="137"/>
      <c r="CO138" s="138"/>
      <c r="CP138" s="136"/>
      <c r="CQ138" s="225"/>
      <c r="CR138" s="225"/>
      <c r="CS138" s="225"/>
      <c r="CT138" s="225"/>
      <c r="CU138" s="225"/>
      <c r="CV138" s="225"/>
      <c r="CW138" s="225"/>
      <c r="CX138" s="225"/>
      <c r="CY138" s="225"/>
      <c r="CZ138" s="225"/>
      <c r="DA138" s="225"/>
      <c r="DB138" s="225"/>
      <c r="DC138" s="225"/>
      <c r="DD138" s="225"/>
      <c r="DE138" s="225"/>
      <c r="DF138" s="225"/>
      <c r="DG138" s="225"/>
      <c r="DH138" s="225"/>
      <c r="DI138" s="225"/>
    </row>
    <row r="139" spans="1:113" s="140" customFormat="1" x14ac:dyDescent="0.3">
      <c r="A139" s="218"/>
      <c r="B139" s="226"/>
      <c r="C139" s="226"/>
      <c r="D139" s="408">
        <v>0</v>
      </c>
      <c r="E139" s="273">
        <f>X138</f>
        <v>44944.75</v>
      </c>
      <c r="F139" s="243">
        <f>AA138</f>
        <v>0</v>
      </c>
      <c r="G139" s="244">
        <f>AP138</f>
        <v>0</v>
      </c>
      <c r="H139" s="244">
        <f>AT138</f>
        <v>0</v>
      </c>
      <c r="I139" s="244">
        <v>0</v>
      </c>
      <c r="J139" s="245">
        <v>0</v>
      </c>
      <c r="K139" s="226">
        <v>0</v>
      </c>
      <c r="L139" s="245">
        <f>BP138</f>
        <v>0</v>
      </c>
      <c r="M139" s="245">
        <v>0</v>
      </c>
      <c r="N139" s="226">
        <v>0</v>
      </c>
      <c r="O139" s="204"/>
      <c r="P139" s="415"/>
      <c r="Q139" s="415"/>
      <c r="R139" s="194"/>
      <c r="S139" s="89"/>
      <c r="T139" s="124">
        <v>0</v>
      </c>
      <c r="U139" s="125">
        <f>WEEKDAY(V139)</f>
        <v>4</v>
      </c>
      <c r="V139" s="126">
        <f>V138</f>
        <v>44944</v>
      </c>
      <c r="W139" s="127">
        <v>0.99998842592592585</v>
      </c>
      <c r="X139" s="128">
        <f t="shared" si="25"/>
        <v>44944.999988425923</v>
      </c>
      <c r="Y139" s="129">
        <f t="shared" ref="Y139:Y160" si="26">X139-$X$138</f>
        <v>0.24998842592322035</v>
      </c>
      <c r="Z139" s="129"/>
      <c r="AA139" s="141">
        <v>18054</v>
      </c>
      <c r="AB139" s="142">
        <v>87</v>
      </c>
      <c r="AC139" s="143"/>
      <c r="AD139" s="132"/>
      <c r="AE139" s="133">
        <f t="shared" ref="AE139:AE160" si="27">AA139/AB139</f>
        <v>207.51724137931035</v>
      </c>
      <c r="AF139" s="134"/>
      <c r="AG139" s="133"/>
      <c r="AH139" s="380">
        <f t="shared" ref="AH139:AH141" si="28">AA139</f>
        <v>18054</v>
      </c>
      <c r="AI139" s="370">
        <f t="shared" ref="AI139:AI141" si="29">AB139</f>
        <v>87</v>
      </c>
      <c r="AJ139" s="380">
        <f t="shared" ref="AJ139:AJ141" si="30">AA139</f>
        <v>18054</v>
      </c>
      <c r="AK139" s="370">
        <f t="shared" ref="AK139:AK141" si="31">AB139</f>
        <v>87</v>
      </c>
      <c r="AL139" s="132">
        <f>AA139</f>
        <v>18054</v>
      </c>
      <c r="AM139" s="135">
        <f>AA139-AL139</f>
        <v>0</v>
      </c>
      <c r="AN139" s="144">
        <f>AB139</f>
        <v>87</v>
      </c>
      <c r="AO139" s="423"/>
      <c r="AP139" s="132">
        <f>AA139</f>
        <v>18054</v>
      </c>
      <c r="AQ139" s="135">
        <f t="shared" ref="AQ139:AQ159" si="32">AA139-AP139</f>
        <v>0</v>
      </c>
      <c r="AR139" s="144">
        <f>AB139</f>
        <v>87</v>
      </c>
      <c r="AS139" s="423"/>
      <c r="AT139" s="132">
        <f>AP139</f>
        <v>18054</v>
      </c>
      <c r="AU139" s="135">
        <f t="shared" ref="AU139:AU159" si="33">AA139-AT139</f>
        <v>0</v>
      </c>
      <c r="AV139" s="145">
        <f>AR139</f>
        <v>87</v>
      </c>
      <c r="AW139" s="423"/>
      <c r="AX139" s="132">
        <f>AD139/Y139</f>
        <v>0</v>
      </c>
      <c r="AY139" s="132">
        <f t="shared" ref="AY139:AY160" si="34">AA139/Y139</f>
        <v>72219.343488906074</v>
      </c>
      <c r="AZ139" s="141">
        <f>AA139</f>
        <v>18054</v>
      </c>
      <c r="BA139" s="142">
        <f>AB139</f>
        <v>87</v>
      </c>
      <c r="BB139" s="287">
        <f>AC139</f>
        <v>0</v>
      </c>
      <c r="BC139" s="287">
        <f>AD139</f>
        <v>0</v>
      </c>
      <c r="BD139" s="132"/>
      <c r="BE139" s="132"/>
      <c r="BF139" s="132"/>
      <c r="BG139" s="132"/>
      <c r="BH139" s="141">
        <v>70783</v>
      </c>
      <c r="BI139" s="142">
        <v>291</v>
      </c>
      <c r="BJ139" s="287"/>
      <c r="BK139" s="287"/>
      <c r="BL139" s="132"/>
      <c r="BM139" s="132"/>
      <c r="BN139" s="132"/>
      <c r="BO139" s="132"/>
      <c r="BP139" s="141">
        <v>75090</v>
      </c>
      <c r="BQ139" s="142">
        <v>510</v>
      </c>
      <c r="BR139" s="287"/>
      <c r="BS139" s="287"/>
      <c r="BT139" s="132"/>
      <c r="BU139" s="132"/>
      <c r="BV139" s="132"/>
      <c r="BW139" s="132"/>
      <c r="BX139" s="136">
        <v>0</v>
      </c>
      <c r="BY139" s="136">
        <v>0</v>
      </c>
      <c r="BZ139" s="137">
        <v>0</v>
      </c>
      <c r="CA139" s="137">
        <v>0</v>
      </c>
      <c r="CB139" s="136">
        <v>0.24557122124840888</v>
      </c>
      <c r="CC139" s="136">
        <v>0.24557122124840888</v>
      </c>
      <c r="CD139" s="137">
        <v>0.24159021406727829</v>
      </c>
      <c r="CE139" s="137">
        <v>0.24159021406727829</v>
      </c>
      <c r="CF139" s="136">
        <v>0.20305967479960829</v>
      </c>
      <c r="CG139" s="136">
        <f>CG138+CF139</f>
        <v>0.20305967479960829</v>
      </c>
      <c r="CH139" s="137">
        <v>0.18386243386243387</v>
      </c>
      <c r="CI139" s="137">
        <f>CH139</f>
        <v>0.18386243386243387</v>
      </c>
      <c r="CJ139" s="138"/>
      <c r="CK139" s="136">
        <v>0.20659234902558346</v>
      </c>
      <c r="CL139" s="136">
        <f>CL138+CK139</f>
        <v>0.20659234902558346</v>
      </c>
      <c r="CM139" s="137">
        <v>0.1729106628242075</v>
      </c>
      <c r="CN139" s="137"/>
      <c r="CO139" s="138"/>
      <c r="CP139" s="136"/>
      <c r="CQ139" s="226"/>
      <c r="CR139" s="226"/>
      <c r="CS139" s="226"/>
      <c r="CT139" s="226"/>
      <c r="CU139" s="226"/>
      <c r="CV139" s="226"/>
      <c r="CW139" s="226"/>
      <c r="CX139" s="226"/>
      <c r="CY139" s="226"/>
      <c r="CZ139" s="226"/>
      <c r="DA139" s="226"/>
      <c r="DB139" s="226"/>
      <c r="DC139" s="226"/>
      <c r="DD139" s="226"/>
      <c r="DE139" s="226"/>
      <c r="DF139" s="226"/>
      <c r="DG139" s="226"/>
      <c r="DH139" s="226"/>
      <c r="DI139" s="226"/>
    </row>
    <row r="140" spans="1:113" s="140" customFormat="1" x14ac:dyDescent="0.3">
      <c r="A140" s="218"/>
      <c r="B140" s="226"/>
      <c r="C140" s="226"/>
      <c r="D140" s="408">
        <v>1</v>
      </c>
      <c r="E140" s="273">
        <f t="shared" ref="E140:E160" si="35">X140</f>
        <v>44945.75</v>
      </c>
      <c r="F140" s="243">
        <f t="shared" ref="F140:F160" si="36">AA140</f>
        <v>26725</v>
      </c>
      <c r="G140" s="243">
        <f t="shared" ref="G140:G159" si="37">AP140</f>
        <v>26725</v>
      </c>
      <c r="H140" s="243">
        <f t="shared" ref="H140:H160" si="38">AT140</f>
        <v>26725</v>
      </c>
      <c r="I140" s="244">
        <v>36402</v>
      </c>
      <c r="J140" s="245">
        <v>82966</v>
      </c>
      <c r="K140" s="245"/>
      <c r="L140" s="245">
        <f t="shared" ref="L140:L160" si="39">BP140</f>
        <v>89735</v>
      </c>
      <c r="M140" s="245">
        <v>76466</v>
      </c>
      <c r="N140" s="245">
        <v>43437</v>
      </c>
      <c r="O140" s="204"/>
      <c r="P140" s="415"/>
      <c r="Q140" s="415"/>
      <c r="R140" s="194"/>
      <c r="S140" s="89"/>
      <c r="T140" s="146">
        <v>1</v>
      </c>
      <c r="U140" s="125" t="s">
        <v>16</v>
      </c>
      <c r="V140" s="126">
        <f>V138+1</f>
        <v>44945</v>
      </c>
      <c r="W140" s="127">
        <v>0.75</v>
      </c>
      <c r="X140" s="128">
        <f t="shared" si="25"/>
        <v>44945.75</v>
      </c>
      <c r="Y140" s="129">
        <f t="shared" si="26"/>
        <v>1</v>
      </c>
      <c r="Z140" s="129">
        <f>Y140-Y138</f>
        <v>1</v>
      </c>
      <c r="AA140" s="141">
        <v>26725</v>
      </c>
      <c r="AB140" s="142">
        <v>136</v>
      </c>
      <c r="AC140" s="143">
        <f>AB140-AB138</f>
        <v>136</v>
      </c>
      <c r="AD140" s="132">
        <f>AA140-AA138</f>
        <v>26725</v>
      </c>
      <c r="AE140" s="133">
        <f t="shared" si="27"/>
        <v>196.50735294117646</v>
      </c>
      <c r="AF140" s="134">
        <f>(AD140-AA138)/(AC140-AB138)</f>
        <v>196.50735294117646</v>
      </c>
      <c r="AG140" s="134">
        <f>SUM(AD139:AD140)/SUM(AC139:AC140)</f>
        <v>196.50735294117646</v>
      </c>
      <c r="AH140" s="130">
        <f t="shared" si="28"/>
        <v>26725</v>
      </c>
      <c r="AI140" s="371">
        <f t="shared" si="29"/>
        <v>136</v>
      </c>
      <c r="AJ140" s="130">
        <f t="shared" si="30"/>
        <v>26725</v>
      </c>
      <c r="AK140" s="371">
        <f t="shared" si="31"/>
        <v>136</v>
      </c>
      <c r="AL140" s="132">
        <f t="shared" ref="AL140:AL142" si="40">AA140</f>
        <v>26725</v>
      </c>
      <c r="AM140" s="135">
        <f t="shared" ref="AM140:AM160" si="41">AA140-AL140</f>
        <v>0</v>
      </c>
      <c r="AN140" s="144">
        <f t="shared" ref="AN140:AN142" si="42">AB140</f>
        <v>136</v>
      </c>
      <c r="AO140" s="423">
        <f>AB140-AN140</f>
        <v>0</v>
      </c>
      <c r="AP140" s="132">
        <f t="shared" ref="AP140:AP142" si="43">AA140</f>
        <v>26725</v>
      </c>
      <c r="AQ140" s="135">
        <f t="shared" si="32"/>
        <v>0</v>
      </c>
      <c r="AR140" s="144">
        <f t="shared" ref="AR140:AR142" si="44">AB140</f>
        <v>136</v>
      </c>
      <c r="AS140" s="105">
        <f t="shared" ref="AS140:AS155" si="45">AB140-AR140</f>
        <v>0</v>
      </c>
      <c r="AT140" s="132">
        <f t="shared" ref="AT140:AT142" si="46">AP140</f>
        <v>26725</v>
      </c>
      <c r="AU140" s="135">
        <f t="shared" si="33"/>
        <v>0</v>
      </c>
      <c r="AV140" s="145">
        <f t="shared" ref="AV140:AV142" si="47">AR140</f>
        <v>136</v>
      </c>
      <c r="AW140" s="105">
        <f t="shared" ref="AW140:AW160" si="48">AB140-AV140</f>
        <v>0</v>
      </c>
      <c r="AX140" s="132">
        <f t="shared" ref="AX140:AX160" si="49">AD140/Z140</f>
        <v>26725</v>
      </c>
      <c r="AY140" s="132">
        <f t="shared" si="34"/>
        <v>26725</v>
      </c>
      <c r="AZ140" s="141">
        <f t="shared" ref="AZ140:AZ160" si="50">AA140</f>
        <v>26725</v>
      </c>
      <c r="BA140" s="142">
        <f t="shared" ref="BA140:BA160" si="51">AB140</f>
        <v>136</v>
      </c>
      <c r="BB140" s="287">
        <f t="shared" ref="BB140:BB160" si="52">AC140</f>
        <v>136</v>
      </c>
      <c r="BC140" s="287">
        <f t="shared" ref="BC140:BC160" si="53">AD140</f>
        <v>26725</v>
      </c>
      <c r="BD140" s="136">
        <f>BC140/$AZ$160</f>
        <v>0.23091944389240751</v>
      </c>
      <c r="BE140" s="136">
        <f>AZ140/$AZ$160</f>
        <v>0.23091944389240751</v>
      </c>
      <c r="BF140" s="137">
        <f>BB140/$BA$160</f>
        <v>0.21085271317829457</v>
      </c>
      <c r="BG140" s="137">
        <f>BF140</f>
        <v>0.21085271317829457</v>
      </c>
      <c r="BH140" s="141">
        <v>82966</v>
      </c>
      <c r="BI140" s="142">
        <v>341</v>
      </c>
      <c r="BJ140" s="287">
        <f>BI140-BI138</f>
        <v>341</v>
      </c>
      <c r="BK140" s="287">
        <f>BH140-BH138</f>
        <v>82966</v>
      </c>
      <c r="BL140" s="136">
        <f>BK140/$BH$160</f>
        <v>0.21315089046234162</v>
      </c>
      <c r="BM140" s="136">
        <f>BH140/$BH$160</f>
        <v>0.21315089046234162</v>
      </c>
      <c r="BN140" s="137">
        <f>BJ140/$BI$160</f>
        <v>0.20591787439613526</v>
      </c>
      <c r="BO140" s="137">
        <f>BN140</f>
        <v>0.20591787439613526</v>
      </c>
      <c r="BP140" s="141">
        <v>89735</v>
      </c>
      <c r="BQ140" s="142">
        <v>625</v>
      </c>
      <c r="BR140" s="287">
        <f>BQ140-BQ138</f>
        <v>625</v>
      </c>
      <c r="BS140" s="287">
        <f>BP140-BP138</f>
        <v>89735</v>
      </c>
      <c r="BT140" s="136">
        <f>BS140/$BP$160</f>
        <v>0.37516514206398316</v>
      </c>
      <c r="BU140" s="136">
        <f>BP140/$BP$160</f>
        <v>0.37516514206398316</v>
      </c>
      <c r="BV140" s="137">
        <f>BR140/$BQ$160</f>
        <v>0.37560096153846156</v>
      </c>
      <c r="BW140" s="137">
        <f>BV140</f>
        <v>0.37560096153846156</v>
      </c>
      <c r="BX140" s="136">
        <v>0.217908689903446</v>
      </c>
      <c r="BY140" s="136">
        <v>0.21790868990344553</v>
      </c>
      <c r="BZ140" s="137">
        <v>0.23279352226720648</v>
      </c>
      <c r="CA140" s="137">
        <v>0.23279352226720648</v>
      </c>
      <c r="CB140" s="136">
        <v>4.9561783997210986E-2</v>
      </c>
      <c r="CC140" s="136">
        <v>0.29513300524561986</v>
      </c>
      <c r="CD140" s="137">
        <v>5.657492354740061E-2</v>
      </c>
      <c r="CE140" s="137">
        <v>0.29816513761467889</v>
      </c>
      <c r="CF140" s="136">
        <v>5.1641540743868043E-2</v>
      </c>
      <c r="CG140" s="136">
        <f t="shared" ref="CG140:CG160" si="54">CG139+CF140</f>
        <v>0.25470121554347636</v>
      </c>
      <c r="CH140" s="137">
        <v>5.2910052910052907E-2</v>
      </c>
      <c r="CI140" s="137">
        <f>SUM(CH$138:CH140)</f>
        <v>0.23677248677248677</v>
      </c>
      <c r="CJ140" s="138">
        <f>Vergleich!C4</f>
        <v>14771</v>
      </c>
      <c r="CK140" s="136">
        <v>3.0331221429144267E-2</v>
      </c>
      <c r="CL140" s="136">
        <f t="shared" ref="CL140:CL160" si="55">CL139+CK140</f>
        <v>0.23692357045472773</v>
      </c>
      <c r="CM140" s="137">
        <v>3.7463976945244948E-2</v>
      </c>
      <c r="CN140" s="137">
        <f>SUM(CM$138:CM140)</f>
        <v>0.21037463976945245</v>
      </c>
      <c r="CO140" s="138"/>
      <c r="CP140" s="136"/>
      <c r="CQ140" s="226"/>
      <c r="CR140" s="226"/>
      <c r="CS140" s="226"/>
      <c r="CT140" s="226"/>
      <c r="CU140" s="226"/>
      <c r="CV140" s="226"/>
      <c r="CW140" s="226"/>
      <c r="CX140" s="226"/>
      <c r="CY140" s="226"/>
      <c r="CZ140" s="226"/>
      <c r="DA140" s="226"/>
      <c r="DB140" s="226"/>
      <c r="DC140" s="226"/>
      <c r="DD140" s="226"/>
      <c r="DE140" s="226"/>
      <c r="DF140" s="226"/>
      <c r="DG140" s="226"/>
      <c r="DH140" s="226"/>
      <c r="DI140" s="226"/>
    </row>
    <row r="141" spans="1:113" s="140" customFormat="1" x14ac:dyDescent="0.3">
      <c r="A141" s="218"/>
      <c r="B141" s="226"/>
      <c r="C141" s="226"/>
      <c r="D141" s="408">
        <v>2</v>
      </c>
      <c r="E141" s="273">
        <f t="shared" si="35"/>
        <v>44946.75</v>
      </c>
      <c r="F141" s="243">
        <f t="shared" si="36"/>
        <v>32416</v>
      </c>
      <c r="G141" s="243">
        <f t="shared" si="37"/>
        <v>32416</v>
      </c>
      <c r="H141" s="243">
        <f t="shared" si="38"/>
        <v>32416</v>
      </c>
      <c r="I141" s="244">
        <v>42659</v>
      </c>
      <c r="J141" s="245">
        <v>96328</v>
      </c>
      <c r="K141" s="245">
        <v>65000</v>
      </c>
      <c r="L141" s="245">
        <f t="shared" si="39"/>
        <v>114003</v>
      </c>
      <c r="M141" s="245">
        <v>100197</v>
      </c>
      <c r="N141" s="245">
        <v>49522</v>
      </c>
      <c r="O141" s="204"/>
      <c r="P141" s="415"/>
      <c r="Q141" s="415"/>
      <c r="R141" s="194"/>
      <c r="S141" s="89"/>
      <c r="T141" s="146">
        <v>2</v>
      </c>
      <c r="U141" s="125">
        <f t="shared" ref="U141:U160" si="56">WEEKDAY(V141)</f>
        <v>6</v>
      </c>
      <c r="V141" s="126">
        <f t="shared" ref="V141:V160" si="57">V140+1</f>
        <v>44946</v>
      </c>
      <c r="W141" s="127">
        <v>0.75</v>
      </c>
      <c r="X141" s="128">
        <f t="shared" si="25"/>
        <v>44946.75</v>
      </c>
      <c r="Y141" s="129">
        <f t="shared" si="26"/>
        <v>2</v>
      </c>
      <c r="Z141" s="129">
        <f t="shared" ref="Z141:Z160" si="58">Y141-Y140</f>
        <v>1</v>
      </c>
      <c r="AA141" s="141">
        <v>32416</v>
      </c>
      <c r="AB141" s="142">
        <v>172</v>
      </c>
      <c r="AC141" s="143">
        <f t="shared" ref="AC141:AC160" si="59">AB141-AB140</f>
        <v>36</v>
      </c>
      <c r="AD141" s="132">
        <f t="shared" ref="AD141:AD160" si="60">AA141-AA140</f>
        <v>5691</v>
      </c>
      <c r="AE141" s="133">
        <f t="shared" si="27"/>
        <v>188.46511627906978</v>
      </c>
      <c r="AF141" s="134">
        <f t="shared" ref="AF141:AF160" si="61">AD141/AC141</f>
        <v>158.08333333333334</v>
      </c>
      <c r="AG141" s="134">
        <f>SUM(AD139:AD141)/SUM(AC139:AC141)</f>
        <v>188.46511627906978</v>
      </c>
      <c r="AH141" s="130">
        <f t="shared" si="28"/>
        <v>32416</v>
      </c>
      <c r="AI141" s="371">
        <f t="shared" si="29"/>
        <v>172</v>
      </c>
      <c r="AJ141" s="130">
        <f t="shared" si="30"/>
        <v>32416</v>
      </c>
      <c r="AK141" s="371">
        <f t="shared" si="31"/>
        <v>172</v>
      </c>
      <c r="AL141" s="132">
        <f t="shared" si="40"/>
        <v>32416</v>
      </c>
      <c r="AM141" s="135">
        <f t="shared" si="41"/>
        <v>0</v>
      </c>
      <c r="AN141" s="144">
        <f t="shared" si="42"/>
        <v>172</v>
      </c>
      <c r="AO141" s="423">
        <f t="shared" ref="AO141:AO160" si="62">AB141-AN141</f>
        <v>0</v>
      </c>
      <c r="AP141" s="132">
        <f t="shared" si="43"/>
        <v>32416</v>
      </c>
      <c r="AQ141" s="135">
        <f t="shared" si="32"/>
        <v>0</v>
      </c>
      <c r="AR141" s="144">
        <f t="shared" si="44"/>
        <v>172</v>
      </c>
      <c r="AS141" s="105">
        <f t="shared" si="45"/>
        <v>0</v>
      </c>
      <c r="AT141" s="132">
        <f t="shared" si="46"/>
        <v>32416</v>
      </c>
      <c r="AU141" s="135">
        <f t="shared" si="33"/>
        <v>0</v>
      </c>
      <c r="AV141" s="145">
        <f t="shared" si="47"/>
        <v>172</v>
      </c>
      <c r="AW141" s="105">
        <f t="shared" si="48"/>
        <v>0</v>
      </c>
      <c r="AX141" s="132">
        <f t="shared" si="49"/>
        <v>5691</v>
      </c>
      <c r="AY141" s="132">
        <f t="shared" si="34"/>
        <v>16208</v>
      </c>
      <c r="AZ141" s="141">
        <f t="shared" si="50"/>
        <v>32416</v>
      </c>
      <c r="BA141" s="142">
        <f t="shared" si="51"/>
        <v>172</v>
      </c>
      <c r="BB141" s="287">
        <f t="shared" si="52"/>
        <v>36</v>
      </c>
      <c r="BC141" s="287">
        <f t="shared" si="53"/>
        <v>5691</v>
      </c>
      <c r="BD141" s="136">
        <f t="shared" ref="BD141:BD160" si="63">BC141/$AZ$160</f>
        <v>4.917352872560117E-2</v>
      </c>
      <c r="BE141" s="136">
        <f t="shared" ref="BE141:BE160" si="64">AZ141/$AZ$160</f>
        <v>0.2800929726180087</v>
      </c>
      <c r="BF141" s="137">
        <f t="shared" ref="BF141:BF160" si="65">BB141/$BA$160</f>
        <v>5.5813953488372092E-2</v>
      </c>
      <c r="BG141" s="137">
        <f>BG140+BF141</f>
        <v>0.26666666666666666</v>
      </c>
      <c r="BH141" s="141">
        <v>96328</v>
      </c>
      <c r="BI141" s="142">
        <v>404</v>
      </c>
      <c r="BJ141" s="287">
        <f>BI141-BI140</f>
        <v>63</v>
      </c>
      <c r="BK141" s="287">
        <f>BH141-BH140</f>
        <v>13362</v>
      </c>
      <c r="BL141" s="136">
        <f t="shared" ref="BL141:BL160" si="66">BK141/$BH$160</f>
        <v>3.4328787676371146E-2</v>
      </c>
      <c r="BM141" s="136">
        <f t="shared" ref="BM141:BM160" si="67">BH141/$BH$160</f>
        <v>0.24747967813871277</v>
      </c>
      <c r="BN141" s="137">
        <f t="shared" ref="BN141:BN160" si="68">BJ141/$BI$160</f>
        <v>3.8043478260869568E-2</v>
      </c>
      <c r="BO141" s="137">
        <f>BO140+BN141</f>
        <v>0.24396135265700483</v>
      </c>
      <c r="BP141" s="141">
        <v>114003</v>
      </c>
      <c r="BQ141" s="142">
        <v>789</v>
      </c>
      <c r="BR141" s="287">
        <f>BQ141-BQ140</f>
        <v>164</v>
      </c>
      <c r="BS141" s="287">
        <f>BP141-BP140</f>
        <v>24268</v>
      </c>
      <c r="BT141" s="136">
        <f t="shared" ref="BT141:BT160" si="69">BS141/$BP$160</f>
        <v>0.10145993946184591</v>
      </c>
      <c r="BU141" s="136">
        <f t="shared" ref="BU141:BU160" si="70">BP141/$BP$160</f>
        <v>0.47662508152582905</v>
      </c>
      <c r="BV141" s="137">
        <f t="shared" ref="BV141:BV160" si="71">BR141/$BQ$160</f>
        <v>9.8557692307692304E-2</v>
      </c>
      <c r="BW141" s="137">
        <f>BW140+BV141</f>
        <v>0.47415865384615385</v>
      </c>
      <c r="BX141" s="136">
        <v>5.4666059266008156E-2</v>
      </c>
      <c r="BY141" s="136">
        <v>0.27257474916945368</v>
      </c>
      <c r="BZ141" s="137">
        <v>6.0728744939271252E-2</v>
      </c>
      <c r="CA141" s="137">
        <v>0.29352226720647773</v>
      </c>
      <c r="CB141" s="136">
        <v>5.0729278990765438E-2</v>
      </c>
      <c r="CC141" s="136">
        <v>0.34586228423638532</v>
      </c>
      <c r="CD141" s="137">
        <v>5.8103975535168197E-2</v>
      </c>
      <c r="CE141" s="137">
        <v>0.35626911314984711</v>
      </c>
      <c r="CF141" s="136">
        <v>3.5680569481825485E-2</v>
      </c>
      <c r="CG141" s="136">
        <f t="shared" si="54"/>
        <v>0.29038178502530182</v>
      </c>
      <c r="CH141" s="137">
        <v>3.5714285714285712E-2</v>
      </c>
      <c r="CI141" s="137">
        <f>SUM(CH$138:CH141)</f>
        <v>0.2724867724867725</v>
      </c>
      <c r="CJ141" s="138">
        <f>Vergleich!C5</f>
        <v>16764</v>
      </c>
      <c r="CK141" s="136">
        <v>3.1967278851551872E-2</v>
      </c>
      <c r="CL141" s="136">
        <f t="shared" si="55"/>
        <v>0.2688908493062796</v>
      </c>
      <c r="CM141" s="137">
        <v>2.5936599423631135E-2</v>
      </c>
      <c r="CN141" s="137">
        <f>SUM(CM$138:CM141)</f>
        <v>0.23631123919308358</v>
      </c>
      <c r="CO141" s="138">
        <v>65000</v>
      </c>
      <c r="CP141" s="136">
        <f>K141/$CO$162</f>
        <v>0.22773696030719964</v>
      </c>
      <c r="CQ141" s="226"/>
      <c r="CR141" s="226"/>
      <c r="CS141" s="226"/>
      <c r="CT141" s="226"/>
      <c r="CU141" s="226"/>
      <c r="CV141" s="226"/>
      <c r="CW141" s="226"/>
      <c r="CX141" s="226"/>
      <c r="CY141" s="226"/>
      <c r="CZ141" s="226"/>
      <c r="DA141" s="226"/>
      <c r="DB141" s="226"/>
      <c r="DC141" s="226"/>
      <c r="DD141" s="226"/>
      <c r="DE141" s="226"/>
      <c r="DF141" s="226"/>
      <c r="DG141" s="226"/>
      <c r="DH141" s="226"/>
      <c r="DI141" s="226"/>
    </row>
    <row r="142" spans="1:113" s="140" customFormat="1" x14ac:dyDescent="0.3">
      <c r="A142" s="218"/>
      <c r="B142" s="226"/>
      <c r="C142" s="226"/>
      <c r="D142" s="408">
        <v>3</v>
      </c>
      <c r="E142" s="273">
        <f t="shared" si="35"/>
        <v>44947.75</v>
      </c>
      <c r="F142" s="243">
        <f t="shared" si="36"/>
        <v>38191</v>
      </c>
      <c r="G142" s="243">
        <f t="shared" si="37"/>
        <v>38191</v>
      </c>
      <c r="H142" s="243">
        <f t="shared" si="38"/>
        <v>38191</v>
      </c>
      <c r="I142" s="244">
        <v>45273</v>
      </c>
      <c r="J142" s="245">
        <v>115147</v>
      </c>
      <c r="K142" s="245"/>
      <c r="L142" s="245">
        <f t="shared" si="39"/>
        <v>122519</v>
      </c>
      <c r="M142" s="245">
        <v>110488</v>
      </c>
      <c r="N142" s="245">
        <v>53901</v>
      </c>
      <c r="O142" s="226"/>
      <c r="P142" s="415"/>
      <c r="Q142" s="415"/>
      <c r="R142" s="419"/>
      <c r="S142" s="89"/>
      <c r="T142" s="146">
        <v>3</v>
      </c>
      <c r="U142" s="125">
        <f t="shared" si="56"/>
        <v>7</v>
      </c>
      <c r="V142" s="126">
        <f t="shared" si="57"/>
        <v>44947</v>
      </c>
      <c r="W142" s="127">
        <v>0.75</v>
      </c>
      <c r="X142" s="128">
        <f t="shared" si="25"/>
        <v>44947.75</v>
      </c>
      <c r="Y142" s="129">
        <f t="shared" si="26"/>
        <v>3</v>
      </c>
      <c r="Z142" s="129">
        <f t="shared" si="58"/>
        <v>1</v>
      </c>
      <c r="AA142" s="141">
        <v>38191</v>
      </c>
      <c r="AB142" s="142">
        <v>199</v>
      </c>
      <c r="AC142" s="143">
        <f t="shared" si="59"/>
        <v>27</v>
      </c>
      <c r="AD142" s="132">
        <f t="shared" si="60"/>
        <v>5775</v>
      </c>
      <c r="AE142" s="133">
        <f t="shared" si="27"/>
        <v>191.9145728643216</v>
      </c>
      <c r="AF142" s="134">
        <f t="shared" si="61"/>
        <v>213.88888888888889</v>
      </c>
      <c r="AG142" s="134">
        <f>SUM(AD139:AD142)/SUM(AC139:AC142)</f>
        <v>191.9145728643216</v>
      </c>
      <c r="AH142" s="130">
        <f t="shared" ref="AH142" si="72">AA142</f>
        <v>38191</v>
      </c>
      <c r="AI142" s="371">
        <f t="shared" ref="AI142" si="73">AB142</f>
        <v>199</v>
      </c>
      <c r="AJ142" s="130">
        <f t="shared" ref="AJ142" si="74">AA142</f>
        <v>38191</v>
      </c>
      <c r="AK142" s="371">
        <f t="shared" ref="AK142" si="75">AB142</f>
        <v>199</v>
      </c>
      <c r="AL142" s="132">
        <f t="shared" si="40"/>
        <v>38191</v>
      </c>
      <c r="AM142" s="135">
        <f t="shared" si="41"/>
        <v>0</v>
      </c>
      <c r="AN142" s="144">
        <f t="shared" si="42"/>
        <v>199</v>
      </c>
      <c r="AO142" s="423">
        <f t="shared" si="62"/>
        <v>0</v>
      </c>
      <c r="AP142" s="132">
        <f t="shared" si="43"/>
        <v>38191</v>
      </c>
      <c r="AQ142" s="132">
        <f t="shared" si="32"/>
        <v>0</v>
      </c>
      <c r="AR142" s="144">
        <f t="shared" si="44"/>
        <v>199</v>
      </c>
      <c r="AS142" s="105">
        <f t="shared" ref="AS142" si="76">AB142-AR142</f>
        <v>0</v>
      </c>
      <c r="AT142" s="132">
        <f t="shared" si="46"/>
        <v>38191</v>
      </c>
      <c r="AU142" s="132">
        <f t="shared" si="33"/>
        <v>0</v>
      </c>
      <c r="AV142" s="145">
        <f t="shared" si="47"/>
        <v>199</v>
      </c>
      <c r="AW142" s="105">
        <f t="shared" ref="AW142:AW155" si="77">AB142-AV142</f>
        <v>0</v>
      </c>
      <c r="AX142" s="132">
        <f t="shared" si="49"/>
        <v>5775</v>
      </c>
      <c r="AY142" s="132">
        <f t="shared" si="34"/>
        <v>12730.333333333334</v>
      </c>
      <c r="AZ142" s="141">
        <f t="shared" si="50"/>
        <v>38191</v>
      </c>
      <c r="BA142" s="142">
        <f t="shared" si="51"/>
        <v>199</v>
      </c>
      <c r="BB142" s="287">
        <f t="shared" si="52"/>
        <v>27</v>
      </c>
      <c r="BC142" s="287">
        <f t="shared" si="53"/>
        <v>5775</v>
      </c>
      <c r="BD142" s="136">
        <f t="shared" si="63"/>
        <v>4.9899337267676459E-2</v>
      </c>
      <c r="BE142" s="136">
        <f t="shared" si="64"/>
        <v>0.32999230988568518</v>
      </c>
      <c r="BF142" s="137">
        <f t="shared" si="65"/>
        <v>4.1860465116279069E-2</v>
      </c>
      <c r="BG142" s="137">
        <f t="shared" ref="BG142:BG160" si="78">BG141+BF142</f>
        <v>0.30852713178294572</v>
      </c>
      <c r="BH142" s="141">
        <v>115147</v>
      </c>
      <c r="BI142" s="142">
        <v>480</v>
      </c>
      <c r="BJ142" s="287">
        <f t="shared" ref="BJ142:BJ160" si="79">BI142-BI141</f>
        <v>76</v>
      </c>
      <c r="BK142" s="287">
        <f t="shared" ref="BK142:BK160" si="80">BH142-BH141</f>
        <v>18819</v>
      </c>
      <c r="BL142" s="136">
        <f t="shared" si="66"/>
        <v>4.8348559742675393E-2</v>
      </c>
      <c r="BM142" s="136">
        <f t="shared" si="67"/>
        <v>0.29582823788138818</v>
      </c>
      <c r="BN142" s="137">
        <f t="shared" si="68"/>
        <v>4.5893719806763288E-2</v>
      </c>
      <c r="BO142" s="137">
        <f t="shared" ref="BO142:BO160" si="81">BO141+BN142</f>
        <v>0.28985507246376813</v>
      </c>
      <c r="BP142" s="141">
        <v>122519</v>
      </c>
      <c r="BQ142" s="142">
        <v>852</v>
      </c>
      <c r="BR142" s="287">
        <f t="shared" ref="BR142:BR160" si="82">BQ142-BQ141</f>
        <v>63</v>
      </c>
      <c r="BS142" s="287">
        <f t="shared" ref="BS142:BS160" si="83">BP142-BP141</f>
        <v>8516</v>
      </c>
      <c r="BT142" s="136">
        <f t="shared" si="69"/>
        <v>3.5603792832416339E-2</v>
      </c>
      <c r="BU142" s="136">
        <f t="shared" si="70"/>
        <v>0.51222887435824538</v>
      </c>
      <c r="BV142" s="137">
        <f t="shared" si="71"/>
        <v>3.786057692307692E-2</v>
      </c>
      <c r="BW142" s="137">
        <f t="shared" ref="BW142:BW160" si="84">BW141+BV142</f>
        <v>0.51201923076923073</v>
      </c>
      <c r="BX142" s="136">
        <v>3.4877390251219428E-2</v>
      </c>
      <c r="BY142" s="136">
        <v>0.30745213942067312</v>
      </c>
      <c r="BZ142" s="137">
        <v>3.4412955465587043E-2</v>
      </c>
      <c r="CA142" s="137">
        <v>0.32793522267206476</v>
      </c>
      <c r="CB142" s="136">
        <v>2.1193277174662115E-2</v>
      </c>
      <c r="CC142" s="136">
        <v>0.36705556141104745</v>
      </c>
      <c r="CD142" s="137">
        <v>2.2935779816513763E-2</v>
      </c>
      <c r="CE142" s="137">
        <v>0.37920489296636084</v>
      </c>
      <c r="CF142" s="136">
        <v>2.5677109903190436E-2</v>
      </c>
      <c r="CG142" s="136">
        <f t="shared" si="54"/>
        <v>0.31605889492849226</v>
      </c>
      <c r="CH142" s="137">
        <v>2.3809523809523808E-2</v>
      </c>
      <c r="CI142" s="137">
        <f>SUM(CH$138:CH142)</f>
        <v>0.29629629629629628</v>
      </c>
      <c r="CJ142" s="138">
        <f>Vergleich!C6</f>
        <v>17674</v>
      </c>
      <c r="CK142" s="136">
        <v>3.3956211404282621E-2</v>
      </c>
      <c r="CL142" s="136">
        <f t="shared" si="55"/>
        <v>0.30284706071056222</v>
      </c>
      <c r="CM142" s="137">
        <v>3.746397694524492E-2</v>
      </c>
      <c r="CN142" s="137">
        <f>SUM(CM$138:CM142)</f>
        <v>0.2737752161383285</v>
      </c>
      <c r="CO142" s="138"/>
      <c r="CP142" s="136"/>
      <c r="CQ142" s="226"/>
      <c r="CR142" s="226"/>
      <c r="CS142" s="226"/>
      <c r="CT142" s="226"/>
      <c r="CU142" s="226"/>
      <c r="CV142" s="226"/>
      <c r="CW142" s="226"/>
      <c r="CX142" s="226"/>
      <c r="CY142" s="226"/>
      <c r="CZ142" s="226"/>
      <c r="DA142" s="226"/>
      <c r="DB142" s="226"/>
      <c r="DC142" s="226"/>
      <c r="DD142" s="226"/>
      <c r="DE142" s="226"/>
      <c r="DF142" s="226"/>
      <c r="DG142" s="226"/>
      <c r="DH142" s="226"/>
      <c r="DI142" s="226"/>
    </row>
    <row r="143" spans="1:113" s="140" customFormat="1" x14ac:dyDescent="0.3">
      <c r="A143" s="218"/>
      <c r="B143" s="226"/>
      <c r="C143" s="226"/>
      <c r="D143" s="408">
        <v>4</v>
      </c>
      <c r="E143" s="273">
        <f t="shared" si="35"/>
        <v>44948.75</v>
      </c>
      <c r="F143" s="243">
        <f t="shared" si="36"/>
        <v>41597</v>
      </c>
      <c r="G143" s="243">
        <f t="shared" si="37"/>
        <v>39740.828873009377</v>
      </c>
      <c r="H143" s="243">
        <f t="shared" si="38"/>
        <v>42398.143601846597</v>
      </c>
      <c r="I143" s="244">
        <v>47957</v>
      </c>
      <c r="J143" s="245">
        <v>123834</v>
      </c>
      <c r="K143" s="245"/>
      <c r="L143" s="245">
        <f t="shared" si="39"/>
        <v>127604</v>
      </c>
      <c r="M143" s="245">
        <v>117325</v>
      </c>
      <c r="N143" s="245">
        <v>59963</v>
      </c>
      <c r="O143" s="226"/>
      <c r="P143" s="415"/>
      <c r="Q143" s="415"/>
      <c r="R143" s="419"/>
      <c r="S143" s="89"/>
      <c r="T143" s="146">
        <v>4</v>
      </c>
      <c r="U143" s="428">
        <f t="shared" si="56"/>
        <v>1</v>
      </c>
      <c r="V143" s="126">
        <f t="shared" si="57"/>
        <v>44948</v>
      </c>
      <c r="W143" s="127">
        <v>0.75</v>
      </c>
      <c r="X143" s="128">
        <f t="shared" si="25"/>
        <v>44948.75</v>
      </c>
      <c r="Y143" s="129">
        <f t="shared" si="26"/>
        <v>4</v>
      </c>
      <c r="Z143" s="129">
        <f t="shared" si="58"/>
        <v>1</v>
      </c>
      <c r="AA143" s="141">
        <v>41597</v>
      </c>
      <c r="AB143" s="142">
        <v>218</v>
      </c>
      <c r="AC143" s="143">
        <f t="shared" si="59"/>
        <v>19</v>
      </c>
      <c r="AD143" s="132">
        <f t="shared" ref="AD143" si="85">AA143-AA142</f>
        <v>3406</v>
      </c>
      <c r="AE143" s="133">
        <f t="shared" ref="AE143" si="86">AA143/AB143</f>
        <v>190.8119266055046</v>
      </c>
      <c r="AF143" s="134">
        <f t="shared" ref="AF143" si="87">AD143/AC143</f>
        <v>179.26315789473685</v>
      </c>
      <c r="AG143" s="134">
        <f t="shared" ref="AG143" si="88">SUM(AD139:AD143)/SUM(AC139:AC143)</f>
        <v>190.8119266055046</v>
      </c>
      <c r="AH143" s="130">
        <f t="shared" ref="AH143" si="89">AA143</f>
        <v>41597</v>
      </c>
      <c r="AI143" s="371">
        <f t="shared" ref="AI143" si="90">AB143</f>
        <v>218</v>
      </c>
      <c r="AJ143" s="130">
        <f t="shared" ref="AJ143" si="91">AA143</f>
        <v>41597</v>
      </c>
      <c r="AK143" s="371">
        <f t="shared" ref="AK143" si="92">AB143</f>
        <v>218</v>
      </c>
      <c r="AL143" s="132">
        <f>AL142+(AL$170-$AP$142)*CB166</f>
        <v>40196.326364170891</v>
      </c>
      <c r="AM143" s="132">
        <f t="shared" si="41"/>
        <v>1400.6736358291091</v>
      </c>
      <c r="AN143" s="145">
        <f>ROUND(AN142+(AN$170-$AR$142)*CD166,)</f>
        <v>210</v>
      </c>
      <c r="AO143" s="145">
        <f t="shared" si="62"/>
        <v>8</v>
      </c>
      <c r="AP143" s="132">
        <f t="shared" ref="AP143:AP160" si="93">AP142+(AP$170-$AP$142)*CF166</f>
        <v>39740.828873009377</v>
      </c>
      <c r="AQ143" s="132">
        <f t="shared" si="32"/>
        <v>1856.1711269906227</v>
      </c>
      <c r="AR143" s="145">
        <f t="shared" ref="AR143:AR160" si="94">ROUND(AR142+(AR$170-$AR$142)*CH166,)</f>
        <v>206</v>
      </c>
      <c r="AS143" s="93">
        <f t="shared" si="45"/>
        <v>12</v>
      </c>
      <c r="AT143" s="132">
        <f t="shared" ref="AT143:AT160" si="95">AT142+(AT$170-$AT$142)*BT166</f>
        <v>42398.143601846597</v>
      </c>
      <c r="AU143" s="132">
        <f t="shared" si="33"/>
        <v>-801.14360184659745</v>
      </c>
      <c r="AV143" s="145">
        <f t="shared" ref="AV143:AV160" si="96">ROUND(AV142+(AV$170-$AV$142)*BV166,)</f>
        <v>226</v>
      </c>
      <c r="AW143" s="93">
        <f t="shared" si="77"/>
        <v>-8</v>
      </c>
      <c r="AX143" s="132">
        <f t="shared" ref="AX143:AX155" si="97">AD143/Z143</f>
        <v>3406</v>
      </c>
      <c r="AY143" s="132">
        <f t="shared" ref="AY143:AY155" si="98">AA143/Y143</f>
        <v>10399.25</v>
      </c>
      <c r="AZ143" s="130">
        <f t="shared" si="50"/>
        <v>41597</v>
      </c>
      <c r="BA143" s="67">
        <f t="shared" si="51"/>
        <v>218</v>
      </c>
      <c r="BB143" s="287">
        <f t="shared" si="52"/>
        <v>19</v>
      </c>
      <c r="BC143" s="287">
        <f t="shared" si="53"/>
        <v>3406</v>
      </c>
      <c r="BD143" s="136">
        <f t="shared" si="63"/>
        <v>2.9429808265576802E-2</v>
      </c>
      <c r="BE143" s="136">
        <f t="shared" si="64"/>
        <v>0.35942211815126196</v>
      </c>
      <c r="BF143" s="137">
        <f t="shared" si="65"/>
        <v>2.9457364341085271E-2</v>
      </c>
      <c r="BG143" s="137">
        <f t="shared" si="78"/>
        <v>0.33798449612403098</v>
      </c>
      <c r="BH143" s="130">
        <v>123834</v>
      </c>
      <c r="BI143" s="67">
        <v>520</v>
      </c>
      <c r="BJ143" s="287">
        <f t="shared" si="79"/>
        <v>40</v>
      </c>
      <c r="BK143" s="287">
        <f t="shared" si="80"/>
        <v>8687</v>
      </c>
      <c r="BL143" s="136">
        <f t="shared" si="66"/>
        <v>2.231807951987997E-2</v>
      </c>
      <c r="BM143" s="136">
        <f t="shared" si="67"/>
        <v>0.31814631740126814</v>
      </c>
      <c r="BN143" s="137">
        <f t="shared" si="68"/>
        <v>2.4154589371980676E-2</v>
      </c>
      <c r="BO143" s="137">
        <f t="shared" si="81"/>
        <v>0.3140096618357488</v>
      </c>
      <c r="BP143" s="130">
        <v>127604</v>
      </c>
      <c r="BQ143" s="67">
        <v>891</v>
      </c>
      <c r="BR143" s="287">
        <f t="shared" si="82"/>
        <v>39</v>
      </c>
      <c r="BS143" s="287">
        <f t="shared" si="83"/>
        <v>5085</v>
      </c>
      <c r="BT143" s="136">
        <f t="shared" si="69"/>
        <v>2.125942773048815E-2</v>
      </c>
      <c r="BU143" s="136">
        <f t="shared" si="70"/>
        <v>0.53348830208873355</v>
      </c>
      <c r="BV143" s="137">
        <f t="shared" si="71"/>
        <v>2.34375E-2</v>
      </c>
      <c r="BW143" s="137">
        <f t="shared" si="84"/>
        <v>0.53545673076923073</v>
      </c>
      <c r="BX143" s="136">
        <v>2.9477450250552772E-2</v>
      </c>
      <c r="BY143" s="136">
        <v>0.33692958967122588</v>
      </c>
      <c r="BZ143" s="137">
        <v>3.2388663967611336E-2</v>
      </c>
      <c r="CA143" s="137">
        <v>0.36032388663967607</v>
      </c>
      <c r="CB143" s="136">
        <v>2.176080946319553E-2</v>
      </c>
      <c r="CC143" s="136">
        <v>0.38881637087424298</v>
      </c>
      <c r="CD143" s="137">
        <v>2.4464831804281346E-2</v>
      </c>
      <c r="CE143" s="137">
        <v>0.40366972477064217</v>
      </c>
      <c r="CF143" s="136">
        <v>3.5545704551984567E-2</v>
      </c>
      <c r="CG143" s="136">
        <f t="shared" si="54"/>
        <v>0.35160459948047684</v>
      </c>
      <c r="CH143" s="137">
        <v>3.0423280423280422E-2</v>
      </c>
      <c r="CI143" s="137">
        <f>SUM(CH$138:CH143)</f>
        <v>0.32671957671957669</v>
      </c>
      <c r="CJ143" s="138">
        <f>Vergleich!C7</f>
        <v>18881</v>
      </c>
      <c r="CK143" s="136">
        <v>2.7524260165209702E-2</v>
      </c>
      <c r="CL143" s="136">
        <f t="shared" si="55"/>
        <v>0.33037132087577192</v>
      </c>
      <c r="CM143" s="137">
        <v>2.8818443804034588E-2</v>
      </c>
      <c r="CN143" s="137">
        <f>SUM(CM$138:CM143)</f>
        <v>0.30259365994236309</v>
      </c>
      <c r="CO143" s="138"/>
      <c r="CP143" s="92"/>
      <c r="CQ143" s="226"/>
      <c r="CR143" s="226"/>
      <c r="CS143" s="226"/>
      <c r="CT143" s="226"/>
      <c r="CU143" s="226"/>
      <c r="CV143" s="226"/>
      <c r="CW143" s="226"/>
      <c r="CX143" s="226"/>
      <c r="CY143" s="226"/>
      <c r="CZ143" s="226"/>
      <c r="DA143" s="226"/>
      <c r="DB143" s="226"/>
      <c r="DC143" s="226"/>
      <c r="DD143" s="226"/>
      <c r="DE143" s="226"/>
      <c r="DF143" s="226"/>
      <c r="DG143" s="226"/>
      <c r="DH143" s="226"/>
      <c r="DI143" s="226"/>
    </row>
    <row r="144" spans="1:113" s="140" customFormat="1" x14ac:dyDescent="0.3">
      <c r="A144" s="218"/>
      <c r="B144" s="226"/>
      <c r="C144" s="226"/>
      <c r="D144" s="408">
        <v>5</v>
      </c>
      <c r="E144" s="273">
        <f t="shared" si="35"/>
        <v>44949.75</v>
      </c>
      <c r="F144" s="243">
        <f t="shared" si="36"/>
        <v>44358</v>
      </c>
      <c r="G144" s="243">
        <f t="shared" si="37"/>
        <v>40546.678527863478</v>
      </c>
      <c r="H144" s="243">
        <f t="shared" si="38"/>
        <v>45434.567794329785</v>
      </c>
      <c r="I144" s="244">
        <v>50763</v>
      </c>
      <c r="J144" s="245">
        <v>132002</v>
      </c>
      <c r="K144" s="245"/>
      <c r="L144" s="245">
        <f t="shared" si="39"/>
        <v>131274</v>
      </c>
      <c r="M144" s="245">
        <v>120368</v>
      </c>
      <c r="N144" s="245">
        <v>63115</v>
      </c>
      <c r="O144" s="226"/>
      <c r="P144" s="415"/>
      <c r="Q144" s="415"/>
      <c r="R144" s="419"/>
      <c r="S144" s="89"/>
      <c r="T144" s="146">
        <v>5</v>
      </c>
      <c r="U144" s="428">
        <f t="shared" si="56"/>
        <v>2</v>
      </c>
      <c r="V144" s="126">
        <f t="shared" si="57"/>
        <v>44949</v>
      </c>
      <c r="W144" s="127">
        <v>0.75</v>
      </c>
      <c r="X144" s="128">
        <f t="shared" si="25"/>
        <v>44949.75</v>
      </c>
      <c r="Y144" s="129">
        <f t="shared" si="26"/>
        <v>5</v>
      </c>
      <c r="Z144" s="129">
        <f t="shared" si="58"/>
        <v>1</v>
      </c>
      <c r="AA144" s="141">
        <v>44358</v>
      </c>
      <c r="AB144" s="142">
        <v>235</v>
      </c>
      <c r="AC144" s="143">
        <f t="shared" si="59"/>
        <v>17</v>
      </c>
      <c r="AD144" s="132">
        <f t="shared" ref="AD144" si="99">AA144-AA143</f>
        <v>2761</v>
      </c>
      <c r="AE144" s="133">
        <f t="shared" ref="AE144" si="100">AA144/AB144</f>
        <v>188.75744680851065</v>
      </c>
      <c r="AF144" s="134">
        <f t="shared" ref="AF144" si="101">AD144/AC144</f>
        <v>162.41176470588235</v>
      </c>
      <c r="AG144" s="134">
        <f t="shared" ref="AG144" si="102">SUM(AD140:AD144)/SUM(AC140:AC144)</f>
        <v>188.75744680851065</v>
      </c>
      <c r="AH144" s="130">
        <f t="shared" ref="AH144" si="103">AA144</f>
        <v>44358</v>
      </c>
      <c r="AI144" s="371">
        <f t="shared" ref="AI144" si="104">AB144</f>
        <v>235</v>
      </c>
      <c r="AJ144" s="130">
        <f t="shared" ref="AJ144" si="105">AA144</f>
        <v>44358</v>
      </c>
      <c r="AK144" s="371">
        <f t="shared" ref="AK144" si="106">AB144</f>
        <v>235</v>
      </c>
      <c r="AL144" s="132">
        <f t="shared" ref="AL144:AL160" si="107">AL143+(AL$170-$AP$142)*CB167</f>
        <v>42292.80392671319</v>
      </c>
      <c r="AM144" s="132">
        <f t="shared" si="41"/>
        <v>2065.1960732868101</v>
      </c>
      <c r="AN144" s="145">
        <f t="shared" ref="AN144:AN160" si="108">ROUND(AN143+(AN$170-$AR$142)*CD167,)</f>
        <v>221</v>
      </c>
      <c r="AO144" s="145">
        <f t="shared" si="62"/>
        <v>14</v>
      </c>
      <c r="AP144" s="132">
        <f t="shared" si="93"/>
        <v>40546.678527863478</v>
      </c>
      <c r="AQ144" s="132">
        <f t="shared" si="32"/>
        <v>3811.3214721365221</v>
      </c>
      <c r="AR144" s="145">
        <f t="shared" si="94"/>
        <v>211</v>
      </c>
      <c r="AS144" s="93">
        <f t="shared" si="45"/>
        <v>24</v>
      </c>
      <c r="AT144" s="132">
        <f t="shared" si="95"/>
        <v>45434.567794329785</v>
      </c>
      <c r="AU144" s="132">
        <f t="shared" si="33"/>
        <v>-1076.5677943297851</v>
      </c>
      <c r="AV144" s="145">
        <f t="shared" si="96"/>
        <v>245</v>
      </c>
      <c r="AW144" s="93">
        <f t="shared" si="77"/>
        <v>-10</v>
      </c>
      <c r="AX144" s="132">
        <f t="shared" si="97"/>
        <v>2761</v>
      </c>
      <c r="AY144" s="132">
        <f t="shared" si="98"/>
        <v>8871.6</v>
      </c>
      <c r="AZ144" s="130">
        <f t="shared" si="50"/>
        <v>44358</v>
      </c>
      <c r="BA144" s="67">
        <f t="shared" si="51"/>
        <v>235</v>
      </c>
      <c r="BB144" s="145">
        <f t="shared" si="52"/>
        <v>17</v>
      </c>
      <c r="BC144" s="145">
        <f t="shared" si="53"/>
        <v>2761</v>
      </c>
      <c r="BD144" s="136">
        <f t="shared" si="63"/>
        <v>2.3856635531784364E-2</v>
      </c>
      <c r="BE144" s="136">
        <f t="shared" si="64"/>
        <v>0.38327875368304631</v>
      </c>
      <c r="BF144" s="137">
        <f t="shared" si="65"/>
        <v>2.6356589147286821E-2</v>
      </c>
      <c r="BG144" s="137">
        <f t="shared" si="78"/>
        <v>0.36434108527131781</v>
      </c>
      <c r="BH144" s="130">
        <v>132002</v>
      </c>
      <c r="BI144" s="67">
        <v>564</v>
      </c>
      <c r="BJ144" s="145">
        <f t="shared" si="79"/>
        <v>44</v>
      </c>
      <c r="BK144" s="145">
        <f t="shared" si="80"/>
        <v>8168</v>
      </c>
      <c r="BL144" s="136">
        <f t="shared" si="66"/>
        <v>2.098469822935186E-2</v>
      </c>
      <c r="BM144" s="136">
        <f t="shared" si="67"/>
        <v>0.33913101563061998</v>
      </c>
      <c r="BN144" s="137">
        <f t="shared" si="68"/>
        <v>2.6570048309178744E-2</v>
      </c>
      <c r="BO144" s="137">
        <f t="shared" si="81"/>
        <v>0.34057971014492755</v>
      </c>
      <c r="BP144" s="130">
        <v>131274</v>
      </c>
      <c r="BQ144" s="67">
        <v>918</v>
      </c>
      <c r="BR144" s="145">
        <f t="shared" si="82"/>
        <v>27</v>
      </c>
      <c r="BS144" s="145">
        <f t="shared" si="83"/>
        <v>3670</v>
      </c>
      <c r="BT144" s="136">
        <f t="shared" si="69"/>
        <v>1.5343579109319865E-2</v>
      </c>
      <c r="BU144" s="136">
        <f t="shared" si="70"/>
        <v>0.54883188119805337</v>
      </c>
      <c r="BV144" s="137">
        <f t="shared" si="71"/>
        <v>1.622596153846154E-2</v>
      </c>
      <c r="BW144" s="137">
        <f t="shared" si="84"/>
        <v>0.55168269230769229</v>
      </c>
      <c r="BX144" s="136">
        <v>2.5521938645126165E-2</v>
      </c>
      <c r="BY144" s="136">
        <v>0.36245152831635202</v>
      </c>
      <c r="BZ144" s="137">
        <v>2.6315789473684209E-2</v>
      </c>
      <c r="CA144" s="137">
        <v>0.38663967611336025</v>
      </c>
      <c r="CB144" s="136">
        <v>2.2749937166068056E-2</v>
      </c>
      <c r="CC144" s="136">
        <v>0.41156630804031102</v>
      </c>
      <c r="CD144" s="137">
        <v>2.4464831804281346E-2</v>
      </c>
      <c r="CE144" s="137">
        <v>0.4281345565749235</v>
      </c>
      <c r="CF144" s="136">
        <v>1.8482359080807548E-2</v>
      </c>
      <c r="CG144" s="136">
        <f t="shared" si="54"/>
        <v>0.37008695856128437</v>
      </c>
      <c r="CH144" s="137">
        <v>2.2486772486772486E-2</v>
      </c>
      <c r="CI144" s="137">
        <f>SUM(CH$138:CH144)</f>
        <v>0.34920634920634919</v>
      </c>
      <c r="CJ144" s="138">
        <f>Vergleich!C8</f>
        <v>21886</v>
      </c>
      <c r="CK144" s="136">
        <v>2.0675274681209388E-2</v>
      </c>
      <c r="CL144" s="136">
        <f t="shared" si="55"/>
        <v>0.35104659555698131</v>
      </c>
      <c r="CM144" s="137">
        <v>1.7291066282420775E-2</v>
      </c>
      <c r="CN144" s="137">
        <f>SUM(CM$138:CM144)</f>
        <v>0.31988472622478387</v>
      </c>
      <c r="CO144" s="138"/>
      <c r="CP144" s="92"/>
      <c r="CQ144" s="226"/>
      <c r="CR144" s="226"/>
      <c r="CS144" s="226"/>
      <c r="CT144" s="226"/>
      <c r="CU144" s="226"/>
      <c r="CV144" s="226"/>
      <c r="CW144" s="226"/>
      <c r="CX144" s="226"/>
      <c r="CY144" s="226"/>
      <c r="CZ144" s="226"/>
      <c r="DA144" s="226"/>
      <c r="DB144" s="226"/>
      <c r="DC144" s="226"/>
      <c r="DD144" s="226"/>
      <c r="DE144" s="226"/>
      <c r="DF144" s="226"/>
      <c r="DG144" s="226"/>
      <c r="DH144" s="226"/>
      <c r="DI144" s="226"/>
    </row>
    <row r="145" spans="1:113" s="140" customFormat="1" x14ac:dyDescent="0.3">
      <c r="A145" s="218"/>
      <c r="B145" s="226"/>
      <c r="C145" s="226"/>
      <c r="D145" s="408">
        <v>6</v>
      </c>
      <c r="E145" s="273">
        <f t="shared" si="35"/>
        <v>44950.75</v>
      </c>
      <c r="F145" s="243">
        <f t="shared" si="36"/>
        <v>45558</v>
      </c>
      <c r="G145" s="243">
        <f t="shared" si="37"/>
        <v>41066.441328725909</v>
      </c>
      <c r="H145" s="243">
        <f t="shared" si="38"/>
        <v>49007.950924393786</v>
      </c>
      <c r="I145" s="244">
        <v>53829</v>
      </c>
      <c r="J145" s="245">
        <v>150957</v>
      </c>
      <c r="K145" s="245"/>
      <c r="L145" s="245">
        <f t="shared" si="39"/>
        <v>135593</v>
      </c>
      <c r="M145" s="245">
        <v>123198</v>
      </c>
      <c r="N145" s="245">
        <v>65148</v>
      </c>
      <c r="O145" s="226"/>
      <c r="P145" s="415"/>
      <c r="Q145" s="415"/>
      <c r="R145" s="419"/>
      <c r="S145" s="89"/>
      <c r="T145" s="146">
        <v>6</v>
      </c>
      <c r="U145" s="428">
        <f t="shared" si="56"/>
        <v>3</v>
      </c>
      <c r="V145" s="126">
        <f t="shared" si="57"/>
        <v>44950</v>
      </c>
      <c r="W145" s="127">
        <v>0.75</v>
      </c>
      <c r="X145" s="128">
        <f t="shared" si="25"/>
        <v>44950.75</v>
      </c>
      <c r="Y145" s="129">
        <f t="shared" si="26"/>
        <v>6</v>
      </c>
      <c r="Z145" s="129">
        <f t="shared" si="58"/>
        <v>1</v>
      </c>
      <c r="AA145" s="141">
        <v>45558</v>
      </c>
      <c r="AB145" s="142">
        <v>241</v>
      </c>
      <c r="AC145" s="143">
        <f t="shared" si="59"/>
        <v>6</v>
      </c>
      <c r="AD145" s="132">
        <f t="shared" ref="AD145" si="109">AA145-AA144</f>
        <v>1200</v>
      </c>
      <c r="AE145" s="133">
        <f t="shared" ref="AE145" si="110">AA145/AB145</f>
        <v>189.03734439834025</v>
      </c>
      <c r="AF145" s="134">
        <f t="shared" ref="AF145" si="111">AD145/AC145</f>
        <v>200</v>
      </c>
      <c r="AG145" s="134">
        <f t="shared" ref="AG145" si="112">SUM(AD141:AD145)/SUM(AC141:AC145)</f>
        <v>179.36190476190475</v>
      </c>
      <c r="AH145" s="130">
        <f t="shared" ref="AH145" si="113">AA145</f>
        <v>45558</v>
      </c>
      <c r="AI145" s="371">
        <f t="shared" ref="AI145" si="114">AB145</f>
        <v>241</v>
      </c>
      <c r="AJ145" s="130">
        <f t="shared" ref="AJ145" si="115">AA145</f>
        <v>45558</v>
      </c>
      <c r="AK145" s="371">
        <f t="shared" ref="AK145" si="116">AB145</f>
        <v>241</v>
      </c>
      <c r="AL145" s="132">
        <f t="shared" si="107"/>
        <v>44583.538141522411</v>
      </c>
      <c r="AM145" s="132">
        <f t="shared" si="41"/>
        <v>974.46185847758898</v>
      </c>
      <c r="AN145" s="145">
        <f t="shared" si="108"/>
        <v>231</v>
      </c>
      <c r="AO145" s="145">
        <f t="shared" si="62"/>
        <v>10</v>
      </c>
      <c r="AP145" s="132">
        <f t="shared" si="93"/>
        <v>41066.441328725909</v>
      </c>
      <c r="AQ145" s="132">
        <f t="shared" si="32"/>
        <v>4491.5586712740915</v>
      </c>
      <c r="AR145" s="145">
        <f t="shared" si="94"/>
        <v>214</v>
      </c>
      <c r="AS145" s="93">
        <f t="shared" si="45"/>
        <v>27</v>
      </c>
      <c r="AT145" s="132">
        <f t="shared" si="95"/>
        <v>49007.950924393786</v>
      </c>
      <c r="AU145" s="132">
        <f t="shared" si="33"/>
        <v>-3449.9509243937864</v>
      </c>
      <c r="AV145" s="145">
        <f t="shared" si="96"/>
        <v>269</v>
      </c>
      <c r="AW145" s="93">
        <f t="shared" si="77"/>
        <v>-28</v>
      </c>
      <c r="AX145" s="132">
        <f t="shared" si="97"/>
        <v>1200</v>
      </c>
      <c r="AY145" s="132">
        <f t="shared" si="98"/>
        <v>7593</v>
      </c>
      <c r="AZ145" s="130">
        <f t="shared" si="50"/>
        <v>45558</v>
      </c>
      <c r="BA145" s="67">
        <f t="shared" si="51"/>
        <v>241</v>
      </c>
      <c r="BB145" s="145">
        <f t="shared" si="52"/>
        <v>6</v>
      </c>
      <c r="BC145" s="145">
        <f t="shared" si="53"/>
        <v>1200</v>
      </c>
      <c r="BD145" s="136">
        <f t="shared" si="63"/>
        <v>1.0368693458218486E-2</v>
      </c>
      <c r="BE145" s="136">
        <f t="shared" si="64"/>
        <v>0.39364744714126482</v>
      </c>
      <c r="BF145" s="137">
        <f t="shared" si="65"/>
        <v>9.3023255813953487E-3</v>
      </c>
      <c r="BG145" s="137">
        <f t="shared" si="78"/>
        <v>0.37364341085271313</v>
      </c>
      <c r="BH145" s="130">
        <v>150957</v>
      </c>
      <c r="BI145" s="67">
        <v>652</v>
      </c>
      <c r="BJ145" s="145">
        <f t="shared" si="79"/>
        <v>88</v>
      </c>
      <c r="BK145" s="145">
        <f t="shared" si="80"/>
        <v>18955</v>
      </c>
      <c r="BL145" s="136">
        <f t="shared" si="66"/>
        <v>4.8697962161773321E-2</v>
      </c>
      <c r="BM145" s="136">
        <f t="shared" si="67"/>
        <v>0.38782897779239328</v>
      </c>
      <c r="BN145" s="137">
        <f t="shared" si="68"/>
        <v>5.3140096618357488E-2</v>
      </c>
      <c r="BO145" s="137">
        <f t="shared" si="81"/>
        <v>0.39371980676328505</v>
      </c>
      <c r="BP145" s="130">
        <v>135593</v>
      </c>
      <c r="BQ145" s="67">
        <v>953</v>
      </c>
      <c r="BR145" s="145">
        <f t="shared" si="82"/>
        <v>35</v>
      </c>
      <c r="BS145" s="145">
        <f t="shared" si="83"/>
        <v>4319</v>
      </c>
      <c r="BT145" s="136">
        <f t="shared" si="69"/>
        <v>1.8056925932739099E-2</v>
      </c>
      <c r="BU145" s="136">
        <f t="shared" si="70"/>
        <v>0.56688880713079248</v>
      </c>
      <c r="BV145" s="137">
        <f t="shared" si="71"/>
        <v>2.1033653846153848E-2</v>
      </c>
      <c r="BW145" s="137">
        <f t="shared" si="84"/>
        <v>0.57271634615384615</v>
      </c>
      <c r="BX145" s="136">
        <v>5.3999400006666594E-2</v>
      </c>
      <c r="BY145" s="136">
        <v>0.41645092832301861</v>
      </c>
      <c r="BZ145" s="137">
        <v>5.8704453441295545E-2</v>
      </c>
      <c r="CA145" s="137">
        <v>0.4453441295546558</v>
      </c>
      <c r="CB145" s="136">
        <v>2.4857914237763599E-2</v>
      </c>
      <c r="CC145" s="136">
        <v>0.43642422227807465</v>
      </c>
      <c r="CD145" s="137">
        <v>2.1406727828746176E-2</v>
      </c>
      <c r="CE145" s="137">
        <v>0.44954128440366969</v>
      </c>
      <c r="CF145" s="136">
        <v>1.1920887059416798E-2</v>
      </c>
      <c r="CG145" s="136">
        <f t="shared" si="54"/>
        <v>0.38200784562070117</v>
      </c>
      <c r="CH145" s="137">
        <v>1.3227513227513227E-2</v>
      </c>
      <c r="CI145" s="137">
        <f>SUM(CH$138:CH145)</f>
        <v>0.36243386243386244</v>
      </c>
      <c r="CJ145" s="138">
        <f>Vergleich!C9</f>
        <v>22571</v>
      </c>
      <c r="CK145" s="136">
        <v>1.0987248375972425E-2</v>
      </c>
      <c r="CL145" s="136">
        <f t="shared" si="55"/>
        <v>0.36203384393295374</v>
      </c>
      <c r="CM145" s="137">
        <v>1.1527377521613813E-2</v>
      </c>
      <c r="CN145" s="137">
        <f>SUM(CM$138:CM145)</f>
        <v>0.33141210374639768</v>
      </c>
      <c r="CO145" s="138"/>
      <c r="CP145" s="92"/>
      <c r="CQ145" s="226"/>
      <c r="CR145" s="226"/>
      <c r="CS145" s="226"/>
      <c r="CT145" s="226"/>
      <c r="CU145" s="226"/>
      <c r="CV145" s="226"/>
      <c r="CW145" s="226"/>
      <c r="CX145" s="226"/>
      <c r="CY145" s="226"/>
      <c r="CZ145" s="226"/>
      <c r="DA145" s="226"/>
      <c r="DB145" s="226"/>
      <c r="DC145" s="226"/>
      <c r="DD145" s="226"/>
      <c r="DE145" s="226"/>
      <c r="DF145" s="226"/>
      <c r="DG145" s="226"/>
      <c r="DH145" s="226"/>
      <c r="DI145" s="226"/>
    </row>
    <row r="146" spans="1:113" s="140" customFormat="1" x14ac:dyDescent="0.3">
      <c r="A146" s="218"/>
      <c r="B146" s="226"/>
      <c r="C146" s="226"/>
      <c r="D146" s="408">
        <v>7</v>
      </c>
      <c r="E146" s="273">
        <f t="shared" si="35"/>
        <v>44951.75</v>
      </c>
      <c r="F146" s="243">
        <f t="shared" si="36"/>
        <v>50019</v>
      </c>
      <c r="G146" s="243">
        <f t="shared" si="37"/>
        <v>42210.533081731017</v>
      </c>
      <c r="H146" s="243">
        <f t="shared" si="38"/>
        <v>58691.413798732538</v>
      </c>
      <c r="I146" s="244">
        <v>55981</v>
      </c>
      <c r="J146" s="245">
        <v>164491</v>
      </c>
      <c r="K146" s="245"/>
      <c r="L146" s="245">
        <f t="shared" si="39"/>
        <v>147297</v>
      </c>
      <c r="M146" s="245">
        <v>126713</v>
      </c>
      <c r="N146" s="245">
        <v>69623</v>
      </c>
      <c r="O146" s="226"/>
      <c r="P146" s="415"/>
      <c r="Q146" s="415"/>
      <c r="R146" s="419"/>
      <c r="S146" s="89"/>
      <c r="T146" s="146">
        <v>7</v>
      </c>
      <c r="U146" s="428">
        <f t="shared" si="56"/>
        <v>4</v>
      </c>
      <c r="V146" s="126">
        <f t="shared" si="57"/>
        <v>44951</v>
      </c>
      <c r="W146" s="127">
        <v>0.75</v>
      </c>
      <c r="X146" s="128">
        <f t="shared" si="25"/>
        <v>44951.75</v>
      </c>
      <c r="Y146" s="129">
        <f t="shared" si="26"/>
        <v>7</v>
      </c>
      <c r="Z146" s="129">
        <f t="shared" si="58"/>
        <v>1</v>
      </c>
      <c r="AA146" s="141">
        <v>50019</v>
      </c>
      <c r="AB146" s="142">
        <v>262</v>
      </c>
      <c r="AC146" s="143">
        <f t="shared" si="59"/>
        <v>21</v>
      </c>
      <c r="AD146" s="132">
        <f t="shared" ref="AD146" si="117">AA146-AA145</f>
        <v>4461</v>
      </c>
      <c r="AE146" s="133">
        <f t="shared" ref="AE146" si="118">AA146/AB146</f>
        <v>190.91221374045801</v>
      </c>
      <c r="AF146" s="134">
        <f t="shared" ref="AF146" si="119">AD146/AC146</f>
        <v>212.42857142857142</v>
      </c>
      <c r="AG146" s="134">
        <f t="shared" ref="AG146" si="120">SUM(AD142:AD146)/SUM(AC142:AC146)</f>
        <v>195.5888888888889</v>
      </c>
      <c r="AH146" s="130">
        <f t="shared" ref="AH146" si="121">AA146</f>
        <v>50019</v>
      </c>
      <c r="AI146" s="371">
        <f t="shared" ref="AI146" si="122">AB146</f>
        <v>262</v>
      </c>
      <c r="AJ146" s="130">
        <f t="shared" ref="AJ146" si="123">AA146</f>
        <v>50019</v>
      </c>
      <c r="AK146" s="371">
        <f t="shared" ref="AK146" si="124">AB146</f>
        <v>262</v>
      </c>
      <c r="AL146" s="132">
        <f t="shared" si="107"/>
        <v>46191.38550951636</v>
      </c>
      <c r="AM146" s="132">
        <f t="shared" si="41"/>
        <v>3827.6144904836401</v>
      </c>
      <c r="AN146" s="145">
        <f t="shared" si="108"/>
        <v>241</v>
      </c>
      <c r="AO146" s="145">
        <f t="shared" si="62"/>
        <v>21</v>
      </c>
      <c r="AP146" s="132">
        <f t="shared" si="93"/>
        <v>42210.533081731017</v>
      </c>
      <c r="AQ146" s="132">
        <f t="shared" si="32"/>
        <v>7808.4669182689831</v>
      </c>
      <c r="AR146" s="145">
        <f t="shared" si="94"/>
        <v>220</v>
      </c>
      <c r="AS146" s="93">
        <f t="shared" si="45"/>
        <v>42</v>
      </c>
      <c r="AT146" s="132">
        <f t="shared" si="95"/>
        <v>58691.413798732538</v>
      </c>
      <c r="AU146" s="132">
        <f t="shared" si="33"/>
        <v>-8672.4137987325375</v>
      </c>
      <c r="AV146" s="145">
        <f t="shared" si="96"/>
        <v>333</v>
      </c>
      <c r="AW146" s="93">
        <f t="shared" si="77"/>
        <v>-71</v>
      </c>
      <c r="AX146" s="132">
        <f t="shared" si="97"/>
        <v>4461</v>
      </c>
      <c r="AY146" s="132">
        <f t="shared" si="98"/>
        <v>7145.5714285714284</v>
      </c>
      <c r="AZ146" s="130">
        <f t="shared" si="50"/>
        <v>50019</v>
      </c>
      <c r="BA146" s="67">
        <f t="shared" si="51"/>
        <v>262</v>
      </c>
      <c r="BB146" s="145">
        <f t="shared" si="52"/>
        <v>21</v>
      </c>
      <c r="BC146" s="145">
        <f t="shared" si="53"/>
        <v>4461</v>
      </c>
      <c r="BD146" s="136">
        <f t="shared" si="63"/>
        <v>3.8545617930927221E-2</v>
      </c>
      <c r="BE146" s="136">
        <f t="shared" si="64"/>
        <v>0.43219306507219202</v>
      </c>
      <c r="BF146" s="137">
        <f t="shared" si="65"/>
        <v>3.255813953488372E-2</v>
      </c>
      <c r="BG146" s="137">
        <f t="shared" si="78"/>
        <v>0.40620155038759687</v>
      </c>
      <c r="BH146" s="130">
        <v>164491</v>
      </c>
      <c r="BI146" s="67">
        <v>709</v>
      </c>
      <c r="BJ146" s="145">
        <f t="shared" si="79"/>
        <v>57</v>
      </c>
      <c r="BK146" s="145">
        <f t="shared" si="80"/>
        <v>13534</v>
      </c>
      <c r="BL146" s="136">
        <f t="shared" si="66"/>
        <v>3.4770678971112641E-2</v>
      </c>
      <c r="BM146" s="136">
        <f t="shared" si="67"/>
        <v>0.42259965676350597</v>
      </c>
      <c r="BN146" s="137">
        <f t="shared" si="68"/>
        <v>3.4420289855072464E-2</v>
      </c>
      <c r="BO146" s="137">
        <f t="shared" si="81"/>
        <v>0.4281400966183575</v>
      </c>
      <c r="BP146" s="130">
        <v>147297</v>
      </c>
      <c r="BQ146" s="67">
        <v>1044</v>
      </c>
      <c r="BR146" s="145">
        <f t="shared" si="82"/>
        <v>91</v>
      </c>
      <c r="BS146" s="145">
        <f t="shared" si="83"/>
        <v>11704</v>
      </c>
      <c r="BT146" s="136">
        <f t="shared" si="69"/>
        <v>4.893222067996722E-2</v>
      </c>
      <c r="BU146" s="136">
        <f t="shared" si="70"/>
        <v>0.61582102781075976</v>
      </c>
      <c r="BV146" s="137">
        <f t="shared" si="71"/>
        <v>5.46875E-2</v>
      </c>
      <c r="BW146" s="137">
        <f t="shared" si="84"/>
        <v>0.62740384615384615</v>
      </c>
      <c r="BX146" s="136">
        <v>3.0466328151909423E-2</v>
      </c>
      <c r="BY146" s="136">
        <v>0.44691725647492803</v>
      </c>
      <c r="BZ146" s="137">
        <v>3.2388663967611336E-2</v>
      </c>
      <c r="CA146" s="137">
        <v>0.47773279352226716</v>
      </c>
      <c r="CB146" s="136">
        <v>1.7447564070341575E-2</v>
      </c>
      <c r="CC146" s="136">
        <v>0.45387178634841624</v>
      </c>
      <c r="CD146" s="137">
        <v>2.1406727828746176E-2</v>
      </c>
      <c r="CE146" s="137">
        <v>0.47094801223241589</v>
      </c>
      <c r="CF146" s="136">
        <v>2.6240024392961223E-2</v>
      </c>
      <c r="CG146" s="136">
        <f t="shared" si="54"/>
        <v>0.40824787001366242</v>
      </c>
      <c r="CH146" s="137">
        <v>2.7777777777777776E-2</v>
      </c>
      <c r="CI146" s="137">
        <f>SUM(CH$138:CH146)</f>
        <v>0.39021164021164023</v>
      </c>
      <c r="CJ146" s="138">
        <f>Vergleich!C10</f>
        <v>24180</v>
      </c>
      <c r="CK146" s="136">
        <v>2.5808003849546846E-2</v>
      </c>
      <c r="CL146" s="136">
        <f t="shared" si="55"/>
        <v>0.38784184778250058</v>
      </c>
      <c r="CM146" s="137">
        <v>2.5936599423631135E-2</v>
      </c>
      <c r="CN146" s="137">
        <f>SUM(CM$138:CM146)</f>
        <v>0.35734870317002881</v>
      </c>
      <c r="CO146" s="138"/>
      <c r="CP146" s="92"/>
      <c r="CQ146" s="226"/>
      <c r="CR146" s="226"/>
      <c r="CS146" s="226"/>
      <c r="CT146" s="226"/>
      <c r="CU146" s="226"/>
      <c r="CV146" s="226"/>
      <c r="CW146" s="226"/>
      <c r="CX146" s="226"/>
      <c r="CY146" s="226"/>
      <c r="CZ146" s="226"/>
      <c r="DA146" s="226"/>
      <c r="DB146" s="226"/>
      <c r="DC146" s="226"/>
      <c r="DD146" s="226"/>
      <c r="DE146" s="226"/>
      <c r="DF146" s="226"/>
      <c r="DG146" s="226"/>
      <c r="DH146" s="226"/>
      <c r="DI146" s="226"/>
    </row>
    <row r="147" spans="1:113" s="140" customFormat="1" x14ac:dyDescent="0.3">
      <c r="A147" s="218"/>
      <c r="B147" s="226"/>
      <c r="C147" s="226"/>
      <c r="D147" s="408">
        <v>8</v>
      </c>
      <c r="E147" s="273">
        <f t="shared" si="35"/>
        <v>44952.75</v>
      </c>
      <c r="F147" s="243">
        <f t="shared" si="36"/>
        <v>54482</v>
      </c>
      <c r="G147" s="243">
        <f t="shared" si="37"/>
        <v>43018.428040277642</v>
      </c>
      <c r="H147" s="243">
        <f t="shared" si="38"/>
        <v>64364.645593788999</v>
      </c>
      <c r="I147" s="244">
        <v>58795</v>
      </c>
      <c r="J147" s="245">
        <v>182858</v>
      </c>
      <c r="K147" s="245"/>
      <c r="L147" s="245">
        <f t="shared" si="39"/>
        <v>154154</v>
      </c>
      <c r="M147" s="245">
        <v>130050</v>
      </c>
      <c r="N147" s="245">
        <v>72783</v>
      </c>
      <c r="O147" s="226"/>
      <c r="P147" s="415"/>
      <c r="Q147" s="415"/>
      <c r="R147" s="419"/>
      <c r="S147" s="89"/>
      <c r="T147" s="146">
        <v>8</v>
      </c>
      <c r="U147" s="428">
        <f t="shared" si="56"/>
        <v>5</v>
      </c>
      <c r="V147" s="126">
        <f t="shared" si="57"/>
        <v>44952</v>
      </c>
      <c r="W147" s="127">
        <v>0.75</v>
      </c>
      <c r="X147" s="128">
        <f t="shared" si="25"/>
        <v>44952.75</v>
      </c>
      <c r="Y147" s="129">
        <f t="shared" si="26"/>
        <v>8</v>
      </c>
      <c r="Z147" s="129">
        <f t="shared" si="58"/>
        <v>1</v>
      </c>
      <c r="AA147" s="141">
        <v>54482</v>
      </c>
      <c r="AB147" s="142">
        <v>287</v>
      </c>
      <c r="AC147" s="143">
        <f t="shared" si="59"/>
        <v>25</v>
      </c>
      <c r="AD147" s="132">
        <f t="shared" ref="AD147" si="125">AA147-AA146</f>
        <v>4463</v>
      </c>
      <c r="AE147" s="133">
        <f t="shared" ref="AE147" si="126">AA147/AB147</f>
        <v>189.83275261324042</v>
      </c>
      <c r="AF147" s="134">
        <f t="shared" ref="AF147" si="127">AD147/AC147</f>
        <v>178.52</v>
      </c>
      <c r="AG147" s="134">
        <f t="shared" ref="AG147" si="128">SUM(AD143:AD147)/SUM(AC143:AC147)</f>
        <v>185.125</v>
      </c>
      <c r="AH147" s="130">
        <f t="shared" ref="AH147" si="129">AA147</f>
        <v>54482</v>
      </c>
      <c r="AI147" s="371">
        <f t="shared" ref="AI147" si="130">AB147</f>
        <v>287</v>
      </c>
      <c r="AJ147" s="130">
        <f t="shared" ref="AJ147" si="131">AA147</f>
        <v>54482</v>
      </c>
      <c r="AK147" s="371">
        <f t="shared" ref="AK147" si="132">AB147</f>
        <v>287</v>
      </c>
      <c r="AL147" s="132">
        <f t="shared" si="107"/>
        <v>48293.840199820712</v>
      </c>
      <c r="AM147" s="132">
        <f t="shared" si="41"/>
        <v>6188.1598001792881</v>
      </c>
      <c r="AN147" s="145">
        <f t="shared" si="108"/>
        <v>253</v>
      </c>
      <c r="AO147" s="145">
        <f t="shared" si="62"/>
        <v>34</v>
      </c>
      <c r="AP147" s="132">
        <f t="shared" si="93"/>
        <v>43018.428040277642</v>
      </c>
      <c r="AQ147" s="132">
        <f t="shared" si="32"/>
        <v>11463.571959722358</v>
      </c>
      <c r="AR147" s="145">
        <f t="shared" si="94"/>
        <v>224</v>
      </c>
      <c r="AS147" s="93">
        <f t="shared" si="45"/>
        <v>63</v>
      </c>
      <c r="AT147" s="132">
        <f t="shared" si="95"/>
        <v>64364.645593788999</v>
      </c>
      <c r="AU147" s="132">
        <f t="shared" si="33"/>
        <v>-9882.6455937889987</v>
      </c>
      <c r="AV147" s="145">
        <f t="shared" si="96"/>
        <v>361</v>
      </c>
      <c r="AW147" s="93">
        <f t="shared" si="77"/>
        <v>-74</v>
      </c>
      <c r="AX147" s="132">
        <f t="shared" si="97"/>
        <v>4463</v>
      </c>
      <c r="AY147" s="132">
        <f t="shared" si="98"/>
        <v>6810.25</v>
      </c>
      <c r="AZ147" s="130">
        <f t="shared" si="50"/>
        <v>54482</v>
      </c>
      <c r="BA147" s="67">
        <f t="shared" si="51"/>
        <v>287</v>
      </c>
      <c r="BB147" s="145">
        <f t="shared" si="52"/>
        <v>25</v>
      </c>
      <c r="BC147" s="145">
        <f t="shared" si="53"/>
        <v>4463</v>
      </c>
      <c r="BD147" s="136">
        <f t="shared" si="63"/>
        <v>3.8562899086690916E-2</v>
      </c>
      <c r="BE147" s="136">
        <f t="shared" si="64"/>
        <v>0.47075596415888293</v>
      </c>
      <c r="BF147" s="137">
        <f t="shared" si="65"/>
        <v>3.875968992248062E-2</v>
      </c>
      <c r="BG147" s="137">
        <f t="shared" si="78"/>
        <v>0.4449612403100775</v>
      </c>
      <c r="BH147" s="130">
        <v>182858</v>
      </c>
      <c r="BI147" s="67">
        <v>792</v>
      </c>
      <c r="BJ147" s="145">
        <f t="shared" si="79"/>
        <v>83</v>
      </c>
      <c r="BK147" s="145">
        <f t="shared" si="80"/>
        <v>18367</v>
      </c>
      <c r="BL147" s="136">
        <f t="shared" si="66"/>
        <v>4.7187310526261704E-2</v>
      </c>
      <c r="BM147" s="136">
        <f t="shared" si="67"/>
        <v>0.46978696728976765</v>
      </c>
      <c r="BN147" s="137">
        <f t="shared" si="68"/>
        <v>5.0120772946859904E-2</v>
      </c>
      <c r="BO147" s="137">
        <f t="shared" si="81"/>
        <v>0.47826086956521741</v>
      </c>
      <c r="BP147" s="130">
        <v>154154</v>
      </c>
      <c r="BQ147" s="67">
        <v>1084</v>
      </c>
      <c r="BR147" s="145">
        <f t="shared" si="82"/>
        <v>40</v>
      </c>
      <c r="BS147" s="145">
        <f t="shared" si="83"/>
        <v>6857</v>
      </c>
      <c r="BT147" s="136">
        <f t="shared" si="69"/>
        <v>2.8667826145124337E-2</v>
      </c>
      <c r="BU147" s="136">
        <f t="shared" si="70"/>
        <v>0.64448885395588407</v>
      </c>
      <c r="BV147" s="137">
        <f t="shared" si="71"/>
        <v>2.403846153846154E-2</v>
      </c>
      <c r="BW147" s="137">
        <f t="shared" si="84"/>
        <v>0.65144230769230771</v>
      </c>
      <c r="BX147" s="136">
        <v>3.9366229264119285E-2</v>
      </c>
      <c r="BY147" s="136">
        <v>0.48628348573904734</v>
      </c>
      <c r="BZ147" s="137">
        <v>3.4412955465587043E-2</v>
      </c>
      <c r="CA147" s="137">
        <v>0.51214574898785425</v>
      </c>
      <c r="CB147" s="136">
        <v>2.2814797999043304E-2</v>
      </c>
      <c r="CC147" s="136">
        <v>0.47668658434745953</v>
      </c>
      <c r="CD147" s="137">
        <v>2.5993883792048929E-2</v>
      </c>
      <c r="CE147" s="137">
        <v>0.49694189602446481</v>
      </c>
      <c r="CF147" s="136">
        <v>1.852926862162178E-2</v>
      </c>
      <c r="CG147" s="136">
        <f t="shared" si="54"/>
        <v>0.42677713863528421</v>
      </c>
      <c r="CH147" s="137">
        <v>1.7195767195767195E-2</v>
      </c>
      <c r="CI147" s="137">
        <f>SUM(CH$138:CH147)</f>
        <v>0.40740740740740744</v>
      </c>
      <c r="CJ147" s="138">
        <f>Vergleich!C11</f>
        <v>26679</v>
      </c>
      <c r="CK147" s="136">
        <v>4.0083406848985481E-2</v>
      </c>
      <c r="CL147" s="136">
        <f t="shared" si="55"/>
        <v>0.42792525463148606</v>
      </c>
      <c r="CM147" s="137">
        <v>3.4582132564841495E-2</v>
      </c>
      <c r="CN147" s="137">
        <f>SUM(CM$138:CM147)</f>
        <v>0.39193083573487031</v>
      </c>
      <c r="CO147" s="138"/>
      <c r="CP147" s="92"/>
      <c r="CQ147" s="226"/>
      <c r="CR147" s="226"/>
      <c r="CS147" s="226"/>
      <c r="CT147" s="226"/>
      <c r="CU147" s="226"/>
      <c r="CV147" s="226"/>
      <c r="CW147" s="226"/>
      <c r="CX147" s="226"/>
      <c r="CY147" s="226"/>
      <c r="CZ147" s="226"/>
      <c r="DA147" s="226"/>
      <c r="DB147" s="226"/>
      <c r="DC147" s="226"/>
      <c r="DD147" s="226"/>
      <c r="DE147" s="226"/>
      <c r="DF147" s="226"/>
      <c r="DG147" s="226"/>
      <c r="DH147" s="226"/>
      <c r="DI147" s="226"/>
    </row>
    <row r="148" spans="1:113" s="140" customFormat="1" x14ac:dyDescent="0.3">
      <c r="A148" s="218"/>
      <c r="B148" s="226"/>
      <c r="C148" s="226"/>
      <c r="D148" s="408">
        <v>9</v>
      </c>
      <c r="E148" s="273">
        <f t="shared" si="35"/>
        <v>44953.75</v>
      </c>
      <c r="F148" s="243">
        <f t="shared" si="36"/>
        <v>60464</v>
      </c>
      <c r="G148" s="243">
        <f t="shared" si="37"/>
        <v>43993.526575688025</v>
      </c>
      <c r="H148" s="243">
        <f t="shared" si="38"/>
        <v>68077.853162144456</v>
      </c>
      <c r="I148" s="244">
        <v>63300</v>
      </c>
      <c r="J148" s="245">
        <v>195000</v>
      </c>
      <c r="K148" s="245"/>
      <c r="L148" s="245">
        <f t="shared" si="39"/>
        <v>158642</v>
      </c>
      <c r="M148" s="245">
        <v>133215</v>
      </c>
      <c r="N148" s="245">
        <v>76597</v>
      </c>
      <c r="O148" s="226"/>
      <c r="P148" s="415"/>
      <c r="Q148" s="415"/>
      <c r="R148" s="419"/>
      <c r="S148" s="89"/>
      <c r="T148" s="146">
        <v>9</v>
      </c>
      <c r="U148" s="428">
        <f t="shared" si="56"/>
        <v>6</v>
      </c>
      <c r="V148" s="126">
        <f t="shared" si="57"/>
        <v>44953</v>
      </c>
      <c r="W148" s="127">
        <v>0.75</v>
      </c>
      <c r="X148" s="128">
        <f t="shared" si="25"/>
        <v>44953.75</v>
      </c>
      <c r="Y148" s="129">
        <f t="shared" si="26"/>
        <v>9</v>
      </c>
      <c r="Z148" s="129">
        <f t="shared" si="58"/>
        <v>1</v>
      </c>
      <c r="AA148" s="141">
        <v>60464</v>
      </c>
      <c r="AB148" s="142">
        <v>324</v>
      </c>
      <c r="AC148" s="143">
        <f t="shared" si="59"/>
        <v>37</v>
      </c>
      <c r="AD148" s="132">
        <f t="shared" ref="AD148" si="133">AA148-AA147</f>
        <v>5982</v>
      </c>
      <c r="AE148" s="133">
        <f t="shared" ref="AE148" si="134">AA148/AB148</f>
        <v>186.61728395061729</v>
      </c>
      <c r="AF148" s="134">
        <f t="shared" ref="AF148" si="135">AD148/AC148</f>
        <v>161.67567567567568</v>
      </c>
      <c r="AG148" s="134">
        <f t="shared" ref="AG148" si="136">SUM(AD144:AD148)/SUM(AC144:AC148)</f>
        <v>177.99056603773585</v>
      </c>
      <c r="AH148" s="130">
        <f t="shared" ref="AH148:AH149" si="137">AA148</f>
        <v>60464</v>
      </c>
      <c r="AI148" s="371">
        <f t="shared" ref="AI148:AI149" si="138">AB148</f>
        <v>324</v>
      </c>
      <c r="AJ148" s="130">
        <f t="shared" ref="AJ148:AJ149" si="139">AA148</f>
        <v>60464</v>
      </c>
      <c r="AK148" s="371">
        <f t="shared" ref="AK148:AK149" si="140">AB148</f>
        <v>324</v>
      </c>
      <c r="AL148" s="132">
        <f t="shared" si="107"/>
        <v>51659.71027083035</v>
      </c>
      <c r="AM148" s="132">
        <f t="shared" si="41"/>
        <v>8804.2897291696499</v>
      </c>
      <c r="AN148" s="145">
        <f t="shared" si="108"/>
        <v>271</v>
      </c>
      <c r="AO148" s="145">
        <f t="shared" si="62"/>
        <v>53</v>
      </c>
      <c r="AP148" s="132">
        <f t="shared" si="93"/>
        <v>43993.526575688025</v>
      </c>
      <c r="AQ148" s="132">
        <f t="shared" si="32"/>
        <v>16470.473424311975</v>
      </c>
      <c r="AR148" s="145">
        <f t="shared" si="94"/>
        <v>230</v>
      </c>
      <c r="AS148" s="93">
        <f t="shared" si="45"/>
        <v>94</v>
      </c>
      <c r="AT148" s="132">
        <f t="shared" si="95"/>
        <v>68077.853162144456</v>
      </c>
      <c r="AU148" s="132">
        <f t="shared" si="33"/>
        <v>-7613.8531621444563</v>
      </c>
      <c r="AV148" s="145">
        <f t="shared" si="96"/>
        <v>381</v>
      </c>
      <c r="AW148" s="93">
        <f t="shared" si="77"/>
        <v>-57</v>
      </c>
      <c r="AX148" s="132">
        <f t="shared" si="97"/>
        <v>5982</v>
      </c>
      <c r="AY148" s="132">
        <f t="shared" si="98"/>
        <v>6718.2222222222226</v>
      </c>
      <c r="AZ148" s="130">
        <f t="shared" si="50"/>
        <v>60464</v>
      </c>
      <c r="BA148" s="67">
        <f t="shared" si="51"/>
        <v>324</v>
      </c>
      <c r="BB148" s="145">
        <f t="shared" si="52"/>
        <v>37</v>
      </c>
      <c r="BC148" s="145">
        <f t="shared" si="53"/>
        <v>5982</v>
      </c>
      <c r="BD148" s="136">
        <f t="shared" si="63"/>
        <v>5.1687936889219153E-2</v>
      </c>
      <c r="BE148" s="136">
        <f t="shared" si="64"/>
        <v>0.52244390104810212</v>
      </c>
      <c r="BF148" s="137">
        <f t="shared" si="65"/>
        <v>5.7364341085271317E-2</v>
      </c>
      <c r="BG148" s="137">
        <f t="shared" si="78"/>
        <v>0.50232558139534877</v>
      </c>
      <c r="BH148" s="130">
        <v>195000</v>
      </c>
      <c r="BI148" s="67">
        <v>851</v>
      </c>
      <c r="BJ148" s="145">
        <f t="shared" si="79"/>
        <v>59</v>
      </c>
      <c r="BK148" s="145">
        <f t="shared" si="80"/>
        <v>12142</v>
      </c>
      <c r="BL148" s="136">
        <f t="shared" si="66"/>
        <v>3.1194442446227995E-2</v>
      </c>
      <c r="BM148" s="136">
        <f t="shared" si="67"/>
        <v>0.5009814097359957</v>
      </c>
      <c r="BN148" s="137">
        <f t="shared" si="68"/>
        <v>3.5628019323671496E-2</v>
      </c>
      <c r="BO148" s="137">
        <f t="shared" si="81"/>
        <v>0.51388888888888895</v>
      </c>
      <c r="BP148" s="130">
        <v>158642</v>
      </c>
      <c r="BQ148" s="67">
        <v>1112</v>
      </c>
      <c r="BR148" s="145">
        <f t="shared" si="82"/>
        <v>28</v>
      </c>
      <c r="BS148" s="145">
        <f t="shared" si="83"/>
        <v>4488</v>
      </c>
      <c r="BT148" s="136">
        <f t="shared" si="69"/>
        <v>1.8763483117882167E-2</v>
      </c>
      <c r="BU148" s="136">
        <f t="shared" si="70"/>
        <v>0.6632523370737663</v>
      </c>
      <c r="BV148" s="137">
        <f t="shared" si="71"/>
        <v>1.6826923076923076E-2</v>
      </c>
      <c r="BW148" s="137">
        <f t="shared" si="84"/>
        <v>0.66826923076923084</v>
      </c>
      <c r="BX148" s="136">
        <v>2.4499727780802436E-2</v>
      </c>
      <c r="BY148" s="136">
        <v>0.51078321351984979</v>
      </c>
      <c r="BZ148" s="137">
        <v>2.8340080971659919E-2</v>
      </c>
      <c r="CA148" s="137">
        <v>0.54048582995951422</v>
      </c>
      <c r="CB148" s="136">
        <v>3.6524756569186238E-2</v>
      </c>
      <c r="CC148" s="136">
        <v>0.51321134091664578</v>
      </c>
      <c r="CD148" s="137">
        <v>3.82262996941896E-2</v>
      </c>
      <c r="CE148" s="137">
        <v>0.53516819571865437</v>
      </c>
      <c r="CF148" s="136">
        <v>2.2364123583185274E-2</v>
      </c>
      <c r="CG148" s="136">
        <f t="shared" si="54"/>
        <v>0.44914126221846951</v>
      </c>
      <c r="CH148" s="137">
        <v>2.7777777777777776E-2</v>
      </c>
      <c r="CI148" s="137">
        <f>SUM(CH$138:CH148)</f>
        <v>0.43518518518518523</v>
      </c>
      <c r="CJ148" s="138">
        <f>Vergleich!C12</f>
        <v>27868</v>
      </c>
      <c r="CK148" s="136">
        <v>1.9071296816103978E-2</v>
      </c>
      <c r="CL148" s="136">
        <f t="shared" si="55"/>
        <v>0.44699655144759004</v>
      </c>
      <c r="CM148" s="137">
        <v>1.7291066282420775E-2</v>
      </c>
      <c r="CN148" s="137">
        <f>SUM(CM$138:CM148)</f>
        <v>0.40922190201729108</v>
      </c>
      <c r="CO148" s="138"/>
      <c r="CP148" s="92"/>
      <c r="CQ148" s="226"/>
      <c r="CR148" s="226"/>
      <c r="CS148" s="226"/>
      <c r="CT148" s="226"/>
      <c r="CU148" s="226"/>
      <c r="CV148" s="226"/>
      <c r="CW148" s="226"/>
      <c r="CX148" s="226"/>
      <c r="CY148" s="226"/>
      <c r="CZ148" s="226"/>
      <c r="DA148" s="226"/>
      <c r="DB148" s="226"/>
      <c r="DC148" s="226"/>
      <c r="DD148" s="226"/>
      <c r="DE148" s="226"/>
      <c r="DF148" s="226"/>
      <c r="DG148" s="226"/>
      <c r="DH148" s="226"/>
      <c r="DI148" s="226"/>
    </row>
    <row r="149" spans="1:113" s="140" customFormat="1" x14ac:dyDescent="0.3">
      <c r="A149" s="218"/>
      <c r="B149" s="226"/>
      <c r="C149" s="226"/>
      <c r="D149" s="408">
        <v>10</v>
      </c>
      <c r="E149" s="273">
        <f t="shared" si="35"/>
        <v>44954.75</v>
      </c>
      <c r="F149" s="243">
        <f t="shared" si="36"/>
        <v>62608</v>
      </c>
      <c r="G149" s="243">
        <f t="shared" si="37"/>
        <v>45202.812383892306</v>
      </c>
      <c r="H149" s="243">
        <f t="shared" si="38"/>
        <v>71844.011997071837</v>
      </c>
      <c r="I149" s="244">
        <v>66650</v>
      </c>
      <c r="J149" s="245">
        <v>203877</v>
      </c>
      <c r="K149" s="245"/>
      <c r="L149" s="245">
        <f t="shared" si="39"/>
        <v>163194</v>
      </c>
      <c r="M149" s="245">
        <v>136715</v>
      </c>
      <c r="N149" s="245">
        <v>81327</v>
      </c>
      <c r="O149" s="226"/>
      <c r="P149" s="415"/>
      <c r="Q149" s="415"/>
      <c r="R149" s="419"/>
      <c r="S149" s="89"/>
      <c r="T149" s="146">
        <v>10</v>
      </c>
      <c r="U149" s="428">
        <f t="shared" si="56"/>
        <v>7</v>
      </c>
      <c r="V149" s="126">
        <f t="shared" si="57"/>
        <v>44954</v>
      </c>
      <c r="W149" s="127">
        <v>0.75</v>
      </c>
      <c r="X149" s="128">
        <f t="shared" si="25"/>
        <v>44954.75</v>
      </c>
      <c r="Y149" s="129">
        <f t="shared" si="26"/>
        <v>10</v>
      </c>
      <c r="Z149" s="129">
        <f t="shared" si="58"/>
        <v>1</v>
      </c>
      <c r="AA149" s="141">
        <v>62608</v>
      </c>
      <c r="AB149" s="142">
        <v>336</v>
      </c>
      <c r="AC149" s="143">
        <f t="shared" si="59"/>
        <v>12</v>
      </c>
      <c r="AD149" s="132">
        <f t="shared" ref="AD149" si="141">AA149-AA148</f>
        <v>2144</v>
      </c>
      <c r="AE149" s="133">
        <f t="shared" ref="AE149" si="142">AA149/AB149</f>
        <v>186.33333333333334</v>
      </c>
      <c r="AF149" s="134">
        <f t="shared" ref="AF149" si="143">AD149/AC149</f>
        <v>178.66666666666666</v>
      </c>
      <c r="AG149" s="134">
        <f t="shared" ref="AG149" si="144">SUM(AD145:AD149)/SUM(AC145:AC149)</f>
        <v>180.69306930693068</v>
      </c>
      <c r="AH149" s="130">
        <f t="shared" si="137"/>
        <v>62608</v>
      </c>
      <c r="AI149" s="371">
        <f t="shared" si="138"/>
        <v>336</v>
      </c>
      <c r="AJ149" s="130">
        <f t="shared" si="139"/>
        <v>62608</v>
      </c>
      <c r="AK149" s="371">
        <f t="shared" si="140"/>
        <v>336</v>
      </c>
      <c r="AL149" s="132">
        <f t="shared" si="107"/>
        <v>54162.632521192674</v>
      </c>
      <c r="AM149" s="132">
        <f t="shared" si="41"/>
        <v>8445.3674788073258</v>
      </c>
      <c r="AN149" s="145">
        <f t="shared" si="108"/>
        <v>285</v>
      </c>
      <c r="AO149" s="145">
        <f t="shared" si="62"/>
        <v>51</v>
      </c>
      <c r="AP149" s="132">
        <f t="shared" si="93"/>
        <v>45202.812383892306</v>
      </c>
      <c r="AQ149" s="132">
        <f t="shared" si="32"/>
        <v>17405.187616107694</v>
      </c>
      <c r="AR149" s="145">
        <f t="shared" si="94"/>
        <v>236</v>
      </c>
      <c r="AS149" s="93">
        <f t="shared" si="45"/>
        <v>100</v>
      </c>
      <c r="AT149" s="132">
        <f t="shared" si="95"/>
        <v>71844.011997071837</v>
      </c>
      <c r="AU149" s="132">
        <f t="shared" si="33"/>
        <v>-9236.011997071837</v>
      </c>
      <c r="AV149" s="145">
        <f t="shared" si="96"/>
        <v>401</v>
      </c>
      <c r="AW149" s="93">
        <f t="shared" si="77"/>
        <v>-65</v>
      </c>
      <c r="AX149" s="132">
        <f t="shared" si="97"/>
        <v>2144</v>
      </c>
      <c r="AY149" s="132">
        <f t="shared" si="98"/>
        <v>6260.8</v>
      </c>
      <c r="AZ149" s="130">
        <f t="shared" si="50"/>
        <v>62608</v>
      </c>
      <c r="BA149" s="67">
        <f t="shared" si="51"/>
        <v>336</v>
      </c>
      <c r="BB149" s="145">
        <f t="shared" si="52"/>
        <v>12</v>
      </c>
      <c r="BC149" s="145">
        <f t="shared" si="53"/>
        <v>2144</v>
      </c>
      <c r="BD149" s="136">
        <f t="shared" si="63"/>
        <v>1.8525398978683695E-2</v>
      </c>
      <c r="BE149" s="136">
        <f t="shared" si="64"/>
        <v>0.54096930002678578</v>
      </c>
      <c r="BF149" s="137">
        <f t="shared" si="65"/>
        <v>1.8604651162790697E-2</v>
      </c>
      <c r="BG149" s="137">
        <f t="shared" si="78"/>
        <v>0.52093023255813953</v>
      </c>
      <c r="BH149" s="130">
        <v>203877</v>
      </c>
      <c r="BI149" s="67">
        <v>893</v>
      </c>
      <c r="BJ149" s="145">
        <f t="shared" si="79"/>
        <v>42</v>
      </c>
      <c r="BK149" s="145">
        <f t="shared" si="80"/>
        <v>8877</v>
      </c>
      <c r="BL149" s="136">
        <f t="shared" si="66"/>
        <v>2.2806215252443248E-2</v>
      </c>
      <c r="BM149" s="136">
        <f t="shared" si="67"/>
        <v>0.52378762498843889</v>
      </c>
      <c r="BN149" s="137">
        <f t="shared" si="68"/>
        <v>2.5362318840579712E-2</v>
      </c>
      <c r="BO149" s="137">
        <f t="shared" si="81"/>
        <v>0.53925120772946866</v>
      </c>
      <c r="BP149" s="130">
        <v>163194</v>
      </c>
      <c r="BQ149" s="67">
        <v>1140</v>
      </c>
      <c r="BR149" s="145">
        <f t="shared" si="82"/>
        <v>28</v>
      </c>
      <c r="BS149" s="145">
        <f t="shared" si="83"/>
        <v>4552</v>
      </c>
      <c r="BT149" s="136">
        <f t="shared" si="69"/>
        <v>1.9031055069652324E-2</v>
      </c>
      <c r="BU149" s="136">
        <f t="shared" si="70"/>
        <v>0.6822833921434186</v>
      </c>
      <c r="BV149" s="137">
        <f t="shared" si="71"/>
        <v>1.6826923076923076E-2</v>
      </c>
      <c r="BW149" s="137">
        <f t="shared" si="84"/>
        <v>0.68509615384615397</v>
      </c>
      <c r="BX149" s="136">
        <v>3.2021866423706406E-2</v>
      </c>
      <c r="BY149" s="136">
        <v>0.5428050799435562</v>
      </c>
      <c r="BZ149" s="137">
        <v>3.0364372469635626E-2</v>
      </c>
      <c r="CA149" s="137">
        <v>0.57085020242914986</v>
      </c>
      <c r="CB149" s="136">
        <v>2.7160473808384884E-2</v>
      </c>
      <c r="CC149" s="136">
        <v>0.54037181472503071</v>
      </c>
      <c r="CD149" s="137">
        <v>2.9051987767584098E-2</v>
      </c>
      <c r="CE149" s="137">
        <v>0.56422018348623848</v>
      </c>
      <c r="CF149" s="136">
        <v>2.7735266006414881E-2</v>
      </c>
      <c r="CG149" s="136">
        <f t="shared" si="54"/>
        <v>0.47687652822488441</v>
      </c>
      <c r="CH149" s="137">
        <v>2.7777777777777776E-2</v>
      </c>
      <c r="CI149" s="137">
        <f>SUM(CH$138:CH149)</f>
        <v>0.46296296296296302</v>
      </c>
      <c r="CJ149" s="138">
        <f>Vergleich!C13</f>
        <v>31587</v>
      </c>
      <c r="CK149" s="136">
        <v>5.9651936803272132E-2</v>
      </c>
      <c r="CL149" s="136">
        <f t="shared" si="55"/>
        <v>0.50664848825086217</v>
      </c>
      <c r="CM149" s="137">
        <v>5.4755043227665667E-2</v>
      </c>
      <c r="CN149" s="137">
        <f>SUM(CM$138:CM149)</f>
        <v>0.46397694524495675</v>
      </c>
      <c r="CO149" s="138"/>
      <c r="CP149" s="92"/>
      <c r="CQ149" s="226"/>
      <c r="CR149" s="226"/>
      <c r="CS149" s="226"/>
      <c r="CT149" s="226"/>
      <c r="CU149" s="226"/>
      <c r="CV149" s="226"/>
      <c r="CW149" s="226"/>
      <c r="CX149" s="226"/>
      <c r="CY149" s="226"/>
      <c r="CZ149" s="226"/>
      <c r="DA149" s="226"/>
      <c r="DB149" s="226"/>
      <c r="DC149" s="226"/>
      <c r="DD149" s="226"/>
      <c r="DE149" s="226"/>
      <c r="DF149" s="226"/>
      <c r="DG149" s="226"/>
      <c r="DH149" s="226"/>
      <c r="DI149" s="226"/>
    </row>
    <row r="150" spans="1:113" s="140" customFormat="1" x14ac:dyDescent="0.3">
      <c r="A150" s="218"/>
      <c r="B150" s="226"/>
      <c r="C150" s="226"/>
      <c r="D150" s="408">
        <v>11</v>
      </c>
      <c r="E150" s="273">
        <f t="shared" si="35"/>
        <v>44955.75</v>
      </c>
      <c r="F150" s="243">
        <f t="shared" si="36"/>
        <v>63707</v>
      </c>
      <c r="G150" s="243">
        <f t="shared" si="37"/>
        <v>45646.387622208254</v>
      </c>
      <c r="H150" s="243">
        <f t="shared" si="38"/>
        <v>74500.67632460958</v>
      </c>
      <c r="I150" s="244">
        <v>69668</v>
      </c>
      <c r="J150" s="245">
        <v>212794</v>
      </c>
      <c r="K150" s="245"/>
      <c r="L150" s="245">
        <f t="shared" si="39"/>
        <v>166405</v>
      </c>
      <c r="M150" s="245">
        <v>139670</v>
      </c>
      <c r="N150" s="245">
        <v>83062</v>
      </c>
      <c r="O150" s="226"/>
      <c r="P150" s="415"/>
      <c r="Q150" s="415"/>
      <c r="R150" s="419"/>
      <c r="S150" s="89"/>
      <c r="T150" s="146">
        <v>11</v>
      </c>
      <c r="U150" s="428">
        <f t="shared" si="56"/>
        <v>1</v>
      </c>
      <c r="V150" s="126">
        <f t="shared" si="57"/>
        <v>44955</v>
      </c>
      <c r="W150" s="127">
        <v>0.75</v>
      </c>
      <c r="X150" s="128">
        <f t="shared" si="25"/>
        <v>44955.75</v>
      </c>
      <c r="Y150" s="129">
        <f t="shared" si="26"/>
        <v>11</v>
      </c>
      <c r="Z150" s="129">
        <f t="shared" si="58"/>
        <v>1</v>
      </c>
      <c r="AA150" s="141">
        <v>63707</v>
      </c>
      <c r="AB150" s="142">
        <v>345</v>
      </c>
      <c r="AC150" s="143">
        <f t="shared" si="59"/>
        <v>9</v>
      </c>
      <c r="AD150" s="132">
        <f t="shared" ref="AD150" si="145">AA150-AA149</f>
        <v>1099</v>
      </c>
      <c r="AE150" s="133">
        <f t="shared" ref="AE150" si="146">AA150/AB150</f>
        <v>184.65797101449274</v>
      </c>
      <c r="AF150" s="134">
        <f t="shared" ref="AF150" si="147">AD150/AC150</f>
        <v>122.11111111111111</v>
      </c>
      <c r="AG150" s="134">
        <f t="shared" ref="AG150" si="148">SUM(AD146:AD150)/SUM(AC146:AC150)</f>
        <v>174.50961538461539</v>
      </c>
      <c r="AH150" s="130">
        <f t="shared" ref="AH150:AH151" si="149">AA150</f>
        <v>63707</v>
      </c>
      <c r="AI150" s="371">
        <f t="shared" ref="AI150:AI151" si="150">AB150</f>
        <v>345</v>
      </c>
      <c r="AJ150" s="130">
        <f t="shared" ref="AJ150:AJ151" si="151">AA150</f>
        <v>63707</v>
      </c>
      <c r="AK150" s="371">
        <f t="shared" ref="AK150:AK151" si="152">AB150</f>
        <v>345</v>
      </c>
      <c r="AL150" s="132">
        <f t="shared" si="107"/>
        <v>56417.503969429541</v>
      </c>
      <c r="AM150" s="132">
        <f t="shared" si="41"/>
        <v>7289.496030570459</v>
      </c>
      <c r="AN150" s="145">
        <f t="shared" si="108"/>
        <v>297</v>
      </c>
      <c r="AO150" s="145">
        <f t="shared" si="62"/>
        <v>48</v>
      </c>
      <c r="AP150" s="132">
        <f t="shared" si="93"/>
        <v>45646.387622208254</v>
      </c>
      <c r="AQ150" s="132">
        <f t="shared" si="32"/>
        <v>18060.612377791746</v>
      </c>
      <c r="AR150" s="145">
        <f t="shared" si="94"/>
        <v>238</v>
      </c>
      <c r="AS150" s="93">
        <f t="shared" si="45"/>
        <v>107</v>
      </c>
      <c r="AT150" s="132">
        <f t="shared" si="95"/>
        <v>74500.67632460958</v>
      </c>
      <c r="AU150" s="132">
        <f t="shared" si="33"/>
        <v>-10793.67632460958</v>
      </c>
      <c r="AV150" s="145">
        <f t="shared" si="96"/>
        <v>417</v>
      </c>
      <c r="AW150" s="93">
        <f t="shared" si="77"/>
        <v>-72</v>
      </c>
      <c r="AX150" s="132">
        <f t="shared" si="97"/>
        <v>1099</v>
      </c>
      <c r="AY150" s="132">
        <f t="shared" si="98"/>
        <v>5791.545454545455</v>
      </c>
      <c r="AZ150" s="130">
        <f t="shared" si="50"/>
        <v>63707</v>
      </c>
      <c r="BA150" s="67">
        <f t="shared" si="51"/>
        <v>345</v>
      </c>
      <c r="BB150" s="145">
        <f t="shared" si="52"/>
        <v>9</v>
      </c>
      <c r="BC150" s="145">
        <f t="shared" si="53"/>
        <v>1099</v>
      </c>
      <c r="BD150" s="136">
        <f t="shared" si="63"/>
        <v>9.4959950921517638E-3</v>
      </c>
      <c r="BE150" s="136">
        <f t="shared" si="64"/>
        <v>0.5504652951189376</v>
      </c>
      <c r="BF150" s="137">
        <f t="shared" si="65"/>
        <v>1.3953488372093023E-2</v>
      </c>
      <c r="BG150" s="137">
        <f t="shared" si="78"/>
        <v>0.53488372093023251</v>
      </c>
      <c r="BH150" s="130">
        <v>212794</v>
      </c>
      <c r="BI150" s="67">
        <v>935</v>
      </c>
      <c r="BJ150" s="145">
        <f t="shared" si="79"/>
        <v>42</v>
      </c>
      <c r="BK150" s="145">
        <f t="shared" si="80"/>
        <v>8917</v>
      </c>
      <c r="BL150" s="136">
        <f t="shared" si="66"/>
        <v>2.290898066982499E-2</v>
      </c>
      <c r="BM150" s="136">
        <f t="shared" si="67"/>
        <v>0.54669660565826383</v>
      </c>
      <c r="BN150" s="137">
        <f t="shared" si="68"/>
        <v>2.5362318840579712E-2</v>
      </c>
      <c r="BO150" s="137">
        <f t="shared" si="81"/>
        <v>0.56461352657004837</v>
      </c>
      <c r="BP150" s="130">
        <v>166405</v>
      </c>
      <c r="BQ150" s="67">
        <v>1163</v>
      </c>
      <c r="BR150" s="145">
        <f t="shared" si="82"/>
        <v>23</v>
      </c>
      <c r="BS150" s="145">
        <f t="shared" si="83"/>
        <v>3211</v>
      </c>
      <c r="BT150" s="136">
        <f t="shared" si="69"/>
        <v>1.342458651771828E-2</v>
      </c>
      <c r="BU150" s="136">
        <f t="shared" si="70"/>
        <v>0.69570797866113687</v>
      </c>
      <c r="BV150" s="137">
        <f t="shared" si="71"/>
        <v>1.3822115384615384E-2</v>
      </c>
      <c r="BW150" s="137">
        <f t="shared" si="84"/>
        <v>0.69891826923076938</v>
      </c>
      <c r="BX150" s="136">
        <v>1.5899823335296274E-2</v>
      </c>
      <c r="BY150" s="136">
        <v>0.55870490327885247</v>
      </c>
      <c r="BZ150" s="137">
        <v>1.8218623481781375E-2</v>
      </c>
      <c r="CA150" s="137">
        <v>0.58906882591093124</v>
      </c>
      <c r="CB150" s="136">
        <v>2.4468749239912112E-2</v>
      </c>
      <c r="CC150" s="136">
        <v>0.56484056396494287</v>
      </c>
      <c r="CD150" s="137">
        <v>2.5993883792048929E-2</v>
      </c>
      <c r="CE150" s="137">
        <v>0.5902140672782874</v>
      </c>
      <c r="CF150" s="136">
        <v>1.0173506664086642E-2</v>
      </c>
      <c r="CG150" s="136">
        <f t="shared" si="54"/>
        <v>0.48705003488897103</v>
      </c>
      <c r="CH150" s="137">
        <v>7.9365079365079361E-3</v>
      </c>
      <c r="CI150" s="137">
        <f>SUM(CH$138:CH150)</f>
        <v>0.47089947089947093</v>
      </c>
      <c r="CJ150" s="138">
        <f>Vergleich!C14</f>
        <v>34703</v>
      </c>
      <c r="CK150" s="136">
        <v>4.9979950276686114E-2</v>
      </c>
      <c r="CL150" s="136">
        <f t="shared" si="55"/>
        <v>0.55662843852754829</v>
      </c>
      <c r="CM150" s="137">
        <v>4.8991354466858816E-2</v>
      </c>
      <c r="CN150" s="137">
        <f>SUM(CM$138:CM150)</f>
        <v>0.51296829971181557</v>
      </c>
      <c r="CO150" s="138"/>
      <c r="CP150" s="136"/>
      <c r="CQ150" s="226"/>
      <c r="CR150" s="226"/>
      <c r="CS150" s="226"/>
      <c r="CT150" s="226"/>
      <c r="CU150" s="226"/>
      <c r="CV150" s="226"/>
      <c r="CW150" s="226"/>
      <c r="CX150" s="226"/>
      <c r="CY150" s="226"/>
      <c r="CZ150" s="226"/>
      <c r="DA150" s="226"/>
      <c r="DB150" s="226"/>
      <c r="DC150" s="226"/>
      <c r="DD150" s="226"/>
      <c r="DE150" s="226"/>
      <c r="DF150" s="226"/>
      <c r="DG150" s="226"/>
      <c r="DH150" s="226"/>
      <c r="DI150" s="226"/>
    </row>
    <row r="151" spans="1:113" s="140" customFormat="1" x14ac:dyDescent="0.3">
      <c r="A151" s="218"/>
      <c r="B151" s="226"/>
      <c r="C151" s="226"/>
      <c r="D151" s="408">
        <v>12</v>
      </c>
      <c r="E151" s="273">
        <f t="shared" si="35"/>
        <v>44956.75</v>
      </c>
      <c r="F151" s="243">
        <f t="shared" si="36"/>
        <v>66094</v>
      </c>
      <c r="G151" s="243">
        <f t="shared" si="37"/>
        <v>46436.897499368431</v>
      </c>
      <c r="H151" s="243">
        <f t="shared" si="38"/>
        <v>77293.028272737851</v>
      </c>
      <c r="I151" s="244">
        <v>71286</v>
      </c>
      <c r="J151" s="245">
        <v>221864</v>
      </c>
      <c r="K151" s="245">
        <v>125000</v>
      </c>
      <c r="L151" s="245">
        <f t="shared" si="39"/>
        <v>169780</v>
      </c>
      <c r="M151" s="245">
        <v>143057</v>
      </c>
      <c r="N151" s="245">
        <v>86154</v>
      </c>
      <c r="O151" s="226"/>
      <c r="P151" s="415"/>
      <c r="Q151" s="415"/>
      <c r="R151" s="419"/>
      <c r="S151" s="89"/>
      <c r="T151" s="146">
        <v>12</v>
      </c>
      <c r="U151" s="428">
        <f t="shared" si="56"/>
        <v>2</v>
      </c>
      <c r="V151" s="126">
        <f t="shared" si="57"/>
        <v>44956</v>
      </c>
      <c r="W151" s="127">
        <v>0.75</v>
      </c>
      <c r="X151" s="128">
        <f t="shared" si="25"/>
        <v>44956.75</v>
      </c>
      <c r="Y151" s="129">
        <f t="shared" si="26"/>
        <v>12</v>
      </c>
      <c r="Z151" s="129">
        <f t="shared" si="58"/>
        <v>1</v>
      </c>
      <c r="AA151" s="141">
        <v>66094</v>
      </c>
      <c r="AB151" s="142">
        <v>361</v>
      </c>
      <c r="AC151" s="143">
        <f t="shared" si="59"/>
        <v>16</v>
      </c>
      <c r="AD151" s="132">
        <f t="shared" ref="AD151" si="153">AA151-AA150</f>
        <v>2387</v>
      </c>
      <c r="AE151" s="133">
        <f t="shared" ref="AE151" si="154">AA151/AB151</f>
        <v>183.08587257617728</v>
      </c>
      <c r="AF151" s="134">
        <f t="shared" ref="AF151" si="155">AD151/AC151</f>
        <v>149.1875</v>
      </c>
      <c r="AG151" s="134">
        <f t="shared" ref="AG151" si="156">SUM(AD147:AD151)/SUM(AC147:AC151)</f>
        <v>162.37373737373738</v>
      </c>
      <c r="AH151" s="130">
        <f t="shared" si="149"/>
        <v>66094</v>
      </c>
      <c r="AI151" s="371">
        <f t="shared" si="150"/>
        <v>361</v>
      </c>
      <c r="AJ151" s="130">
        <f t="shared" si="151"/>
        <v>66094</v>
      </c>
      <c r="AK151" s="371">
        <f t="shared" si="152"/>
        <v>361</v>
      </c>
      <c r="AL151" s="132">
        <f t="shared" si="107"/>
        <v>57626.378059306029</v>
      </c>
      <c r="AM151" s="132">
        <f t="shared" si="41"/>
        <v>8467.6219406939708</v>
      </c>
      <c r="AN151" s="145">
        <f t="shared" si="108"/>
        <v>303</v>
      </c>
      <c r="AO151" s="145">
        <f t="shared" si="62"/>
        <v>58</v>
      </c>
      <c r="AP151" s="132">
        <f t="shared" si="93"/>
        <v>46436.897499368431</v>
      </c>
      <c r="AQ151" s="132">
        <f t="shared" si="32"/>
        <v>19657.102500631569</v>
      </c>
      <c r="AR151" s="145">
        <f t="shared" si="94"/>
        <v>243</v>
      </c>
      <c r="AS151" s="93">
        <f t="shared" si="45"/>
        <v>118</v>
      </c>
      <c r="AT151" s="132">
        <f t="shared" si="95"/>
        <v>77293.028272737851</v>
      </c>
      <c r="AU151" s="132">
        <f t="shared" si="33"/>
        <v>-11199.028272737851</v>
      </c>
      <c r="AV151" s="145">
        <f t="shared" si="96"/>
        <v>435</v>
      </c>
      <c r="AW151" s="93">
        <f t="shared" si="77"/>
        <v>-74</v>
      </c>
      <c r="AX151" s="132">
        <f t="shared" si="97"/>
        <v>2387</v>
      </c>
      <c r="AY151" s="132">
        <f t="shared" si="98"/>
        <v>5507.833333333333</v>
      </c>
      <c r="AZ151" s="130">
        <f t="shared" si="50"/>
        <v>66094</v>
      </c>
      <c r="BA151" s="67">
        <f t="shared" si="51"/>
        <v>361</v>
      </c>
      <c r="BB151" s="145">
        <f t="shared" si="52"/>
        <v>16</v>
      </c>
      <c r="BC151" s="145">
        <f t="shared" si="53"/>
        <v>2387</v>
      </c>
      <c r="BD151" s="136">
        <f t="shared" si="63"/>
        <v>2.0625059403972936E-2</v>
      </c>
      <c r="BE151" s="437">
        <f t="shared" si="64"/>
        <v>0.57109035452291046</v>
      </c>
      <c r="BF151" s="137">
        <f t="shared" si="65"/>
        <v>2.4806201550387597E-2</v>
      </c>
      <c r="BG151" s="137">
        <f t="shared" si="78"/>
        <v>0.55968992248062011</v>
      </c>
      <c r="BH151" s="130">
        <v>221864</v>
      </c>
      <c r="BI151" s="67">
        <v>976</v>
      </c>
      <c r="BJ151" s="145">
        <f t="shared" si="79"/>
        <v>41</v>
      </c>
      <c r="BK151" s="145">
        <f t="shared" si="80"/>
        <v>9070</v>
      </c>
      <c r="BL151" s="136">
        <f t="shared" si="66"/>
        <v>2.3302058391310155E-2</v>
      </c>
      <c r="BM151" s="437">
        <f t="shared" si="67"/>
        <v>0.569998664049574</v>
      </c>
      <c r="BN151" s="137">
        <f t="shared" si="68"/>
        <v>2.4758454106280192E-2</v>
      </c>
      <c r="BO151" s="137">
        <f t="shared" si="81"/>
        <v>0.58937198067632857</v>
      </c>
      <c r="BP151" s="130">
        <v>169780</v>
      </c>
      <c r="BQ151" s="67">
        <v>1189</v>
      </c>
      <c r="BR151" s="145">
        <f t="shared" si="82"/>
        <v>26</v>
      </c>
      <c r="BS151" s="145">
        <f t="shared" si="83"/>
        <v>3375</v>
      </c>
      <c r="BT151" s="136">
        <f t="shared" si="69"/>
        <v>1.4110239644129304E-2</v>
      </c>
      <c r="BU151" s="437">
        <f t="shared" si="70"/>
        <v>0.70981821830526615</v>
      </c>
      <c r="BV151" s="137">
        <f t="shared" si="71"/>
        <v>1.5625E-2</v>
      </c>
      <c r="BW151" s="137">
        <f t="shared" si="84"/>
        <v>0.71454326923076938</v>
      </c>
      <c r="BX151" s="136">
        <v>4.371062543749514E-2</v>
      </c>
      <c r="BY151" s="437">
        <v>0.60241552871634763</v>
      </c>
      <c r="BZ151" s="137">
        <v>4.048582995951417E-2</v>
      </c>
      <c r="CA151" s="137">
        <v>0.62955465587044546</v>
      </c>
      <c r="CB151" s="136">
        <v>1.3118103469243804E-2</v>
      </c>
      <c r="CC151" s="437">
        <v>0.57795866743418667</v>
      </c>
      <c r="CD151" s="137">
        <v>1.3761467889908258E-2</v>
      </c>
      <c r="CE151" s="137">
        <v>0.60397553516819569</v>
      </c>
      <c r="CF151" s="136">
        <v>1.8130537524700806E-2</v>
      </c>
      <c r="CG151" s="437">
        <f t="shared" si="54"/>
        <v>0.50518057241367187</v>
      </c>
      <c r="CH151" s="137">
        <v>1.984126984126984E-2</v>
      </c>
      <c r="CI151" s="137">
        <f>SUM(CH$138:CH151)</f>
        <v>0.49074074074074076</v>
      </c>
      <c r="CJ151" s="138">
        <f>Vergleich!C15</f>
        <v>36986</v>
      </c>
      <c r="CK151" s="136">
        <v>3.6618814660357768E-2</v>
      </c>
      <c r="CL151" s="437">
        <f t="shared" si="55"/>
        <v>0.59324725318790605</v>
      </c>
      <c r="CM151" s="137">
        <v>4.3227665706051854E-2</v>
      </c>
      <c r="CN151" s="137">
        <f>SUM(CM$138:CM151)</f>
        <v>0.55619596541786742</v>
      </c>
      <c r="CO151" s="138">
        <v>125000</v>
      </c>
      <c r="CP151" s="437">
        <f>K151/$CO$162</f>
        <v>0.43795569289846087</v>
      </c>
      <c r="CQ151" s="226"/>
      <c r="CR151" s="226"/>
      <c r="CS151" s="226"/>
      <c r="CT151" s="226"/>
      <c r="CU151" s="226"/>
      <c r="CV151" s="226"/>
      <c r="CW151" s="226"/>
      <c r="CX151" s="226"/>
      <c r="CY151" s="226"/>
      <c r="CZ151" s="226"/>
      <c r="DA151" s="226"/>
      <c r="DB151" s="226"/>
      <c r="DC151" s="226"/>
      <c r="DD151" s="226"/>
      <c r="DE151" s="226"/>
      <c r="DF151" s="226"/>
      <c r="DG151" s="226"/>
      <c r="DH151" s="226"/>
      <c r="DI151" s="226"/>
    </row>
    <row r="152" spans="1:113" s="140" customFormat="1" x14ac:dyDescent="0.3">
      <c r="A152" s="218"/>
      <c r="B152" s="226"/>
      <c r="C152" s="226"/>
      <c r="D152" s="408">
        <v>13</v>
      </c>
      <c r="E152" s="273">
        <f t="shared" si="35"/>
        <v>44957.75</v>
      </c>
      <c r="F152" s="243">
        <f t="shared" si="36"/>
        <v>68288</v>
      </c>
      <c r="G152" s="243">
        <f t="shared" si="37"/>
        <v>47180.365391600579</v>
      </c>
      <c r="H152" s="243">
        <f t="shared" si="38"/>
        <v>79490.505835472271</v>
      </c>
      <c r="I152" s="244">
        <v>74079</v>
      </c>
      <c r="J152" s="245">
        <v>229701</v>
      </c>
      <c r="K152" s="245"/>
      <c r="L152" s="245">
        <f t="shared" si="39"/>
        <v>172436</v>
      </c>
      <c r="M152" s="245">
        <v>149744</v>
      </c>
      <c r="N152" s="245">
        <v>89062</v>
      </c>
      <c r="O152" s="226"/>
      <c r="P152" s="415"/>
      <c r="Q152" s="415"/>
      <c r="R152" s="419"/>
      <c r="S152" s="89"/>
      <c r="T152" s="146">
        <v>13</v>
      </c>
      <c r="U152" s="428">
        <f t="shared" si="56"/>
        <v>3</v>
      </c>
      <c r="V152" s="126">
        <f t="shared" si="57"/>
        <v>44957</v>
      </c>
      <c r="W152" s="127">
        <v>0.75</v>
      </c>
      <c r="X152" s="128">
        <f t="shared" si="25"/>
        <v>44957.75</v>
      </c>
      <c r="Y152" s="129">
        <f t="shared" si="26"/>
        <v>13</v>
      </c>
      <c r="Z152" s="129">
        <f t="shared" si="58"/>
        <v>1</v>
      </c>
      <c r="AA152" s="141">
        <v>68288</v>
      </c>
      <c r="AB152" s="142">
        <v>375</v>
      </c>
      <c r="AC152" s="143">
        <f t="shared" si="59"/>
        <v>14</v>
      </c>
      <c r="AD152" s="132">
        <f t="shared" ref="AD152" si="157">AA152-AA151</f>
        <v>2194</v>
      </c>
      <c r="AE152" s="133">
        <f t="shared" ref="AE152" si="158">AA152/AB152</f>
        <v>182.10133333333334</v>
      </c>
      <c r="AF152" s="134">
        <f t="shared" ref="AF152" si="159">AD152/AC152</f>
        <v>156.71428571428572</v>
      </c>
      <c r="AG152" s="134">
        <f t="shared" ref="AG152" si="160">SUM(AD148:AD152)/SUM(AC148:AC152)</f>
        <v>156.88636363636363</v>
      </c>
      <c r="AH152" s="130">
        <f t="shared" ref="AH152" si="161">AA152</f>
        <v>68288</v>
      </c>
      <c r="AI152" s="371">
        <f t="shared" ref="AI152" si="162">AB152</f>
        <v>375</v>
      </c>
      <c r="AJ152" s="130">
        <f t="shared" ref="AJ152" si="163">AA152</f>
        <v>68288</v>
      </c>
      <c r="AK152" s="371">
        <f t="shared" ref="AK152" si="164">AB152</f>
        <v>375</v>
      </c>
      <c r="AL152" s="132">
        <f t="shared" si="107"/>
        <v>59713.142789234975</v>
      </c>
      <c r="AM152" s="132">
        <f t="shared" si="41"/>
        <v>8574.8572107650252</v>
      </c>
      <c r="AN152" s="145">
        <f t="shared" si="108"/>
        <v>314</v>
      </c>
      <c r="AO152" s="145">
        <f t="shared" si="62"/>
        <v>61</v>
      </c>
      <c r="AP152" s="132">
        <f t="shared" si="93"/>
        <v>47180.365391600579</v>
      </c>
      <c r="AQ152" s="132">
        <f t="shared" si="32"/>
        <v>21107.634608399421</v>
      </c>
      <c r="AR152" s="145">
        <f t="shared" si="94"/>
        <v>248</v>
      </c>
      <c r="AS152" s="93">
        <f t="shared" si="45"/>
        <v>127</v>
      </c>
      <c r="AT152" s="132">
        <f t="shared" si="95"/>
        <v>79490.505835472271</v>
      </c>
      <c r="AU152" s="132">
        <f t="shared" si="33"/>
        <v>-11202.505835472271</v>
      </c>
      <c r="AV152" s="145">
        <f t="shared" si="96"/>
        <v>446</v>
      </c>
      <c r="AW152" s="93">
        <f t="shared" si="77"/>
        <v>-71</v>
      </c>
      <c r="AX152" s="132">
        <f t="shared" si="97"/>
        <v>2194</v>
      </c>
      <c r="AY152" s="132">
        <f t="shared" si="98"/>
        <v>5252.9230769230771</v>
      </c>
      <c r="AZ152" s="130">
        <f t="shared" si="50"/>
        <v>68288</v>
      </c>
      <c r="BA152" s="67">
        <f t="shared" si="51"/>
        <v>375</v>
      </c>
      <c r="BB152" s="145">
        <f t="shared" si="52"/>
        <v>14</v>
      </c>
      <c r="BC152" s="145">
        <f t="shared" si="53"/>
        <v>2194</v>
      </c>
      <c r="BD152" s="136">
        <f t="shared" si="63"/>
        <v>1.8957427872776132E-2</v>
      </c>
      <c r="BE152" s="136">
        <f t="shared" si="64"/>
        <v>0.59004778239568667</v>
      </c>
      <c r="BF152" s="137">
        <f t="shared" si="65"/>
        <v>2.1705426356589147E-2</v>
      </c>
      <c r="BG152" s="137">
        <f t="shared" si="78"/>
        <v>0.58139534883720922</v>
      </c>
      <c r="BH152" s="130">
        <v>229701</v>
      </c>
      <c r="BI152" s="67">
        <v>1011</v>
      </c>
      <c r="BJ152" s="145">
        <f t="shared" si="79"/>
        <v>35</v>
      </c>
      <c r="BK152" s="145">
        <f t="shared" si="80"/>
        <v>7837</v>
      </c>
      <c r="BL152" s="136">
        <f t="shared" si="66"/>
        <v>2.0134314400517939E-2</v>
      </c>
      <c r="BM152" s="136">
        <f t="shared" si="67"/>
        <v>0.59013297845009194</v>
      </c>
      <c r="BN152" s="137">
        <f t="shared" si="68"/>
        <v>2.1135265700483092E-2</v>
      </c>
      <c r="BO152" s="137">
        <f t="shared" si="81"/>
        <v>0.61050724637681164</v>
      </c>
      <c r="BP152" s="130">
        <v>172436</v>
      </c>
      <c r="BQ152" s="67">
        <v>1205</v>
      </c>
      <c r="BR152" s="145">
        <f t="shared" si="82"/>
        <v>16</v>
      </c>
      <c r="BS152" s="145">
        <f t="shared" si="83"/>
        <v>2656</v>
      </c>
      <c r="BT152" s="136">
        <f t="shared" si="69"/>
        <v>1.1104235998461462E-2</v>
      </c>
      <c r="BU152" s="136">
        <f t="shared" si="70"/>
        <v>0.72092245430372759</v>
      </c>
      <c r="BV152" s="137">
        <f t="shared" si="71"/>
        <v>9.6153846153846159E-3</v>
      </c>
      <c r="BW152" s="137">
        <f t="shared" si="84"/>
        <v>0.72415865384615397</v>
      </c>
      <c r="BX152" s="136">
        <v>1.518872012533194E-2</v>
      </c>
      <c r="BY152" s="136">
        <v>0.61760424884167953</v>
      </c>
      <c r="BZ152" s="137">
        <v>1.6194331983805668E-2</v>
      </c>
      <c r="CA152" s="137">
        <v>0.64574898785425117</v>
      </c>
      <c r="CB152" s="136">
        <v>2.2644538312483278E-2</v>
      </c>
      <c r="CC152" s="136">
        <v>0.60060320574666992</v>
      </c>
      <c r="CD152" s="137">
        <v>2.2935779816513763E-2</v>
      </c>
      <c r="CE152" s="137">
        <v>0.62691131498470942</v>
      </c>
      <c r="CF152" s="136">
        <v>1.7051618085973462E-2</v>
      </c>
      <c r="CG152" s="136">
        <f t="shared" si="54"/>
        <v>0.52223219049964531</v>
      </c>
      <c r="CH152" s="137">
        <v>1.984126984126984E-2</v>
      </c>
      <c r="CI152" s="137">
        <f>SUM(CH$138:CH152)</f>
        <v>0.51058201058201058</v>
      </c>
      <c r="CJ152" s="138">
        <f>Vergleich!C16</f>
        <v>37704</v>
      </c>
      <c r="CK152" s="136">
        <v>1.1516561071457154E-2</v>
      </c>
      <c r="CL152" s="136">
        <f t="shared" si="55"/>
        <v>0.60476381425936321</v>
      </c>
      <c r="CM152" s="137">
        <v>1.1527377521613813E-2</v>
      </c>
      <c r="CN152" s="137">
        <f>SUM(CM$138:CM152)</f>
        <v>0.56772334293948123</v>
      </c>
      <c r="CO152" s="138"/>
      <c r="CP152" s="136"/>
      <c r="CQ152" s="226"/>
      <c r="CR152" s="226"/>
      <c r="CS152" s="226"/>
      <c r="CT152" s="226"/>
      <c r="CU152" s="226"/>
      <c r="CV152" s="226"/>
      <c r="CW152" s="226"/>
      <c r="CX152" s="226"/>
      <c r="CY152" s="226"/>
      <c r="CZ152" s="226"/>
      <c r="DA152" s="226"/>
      <c r="DB152" s="226"/>
      <c r="DC152" s="226"/>
      <c r="DD152" s="226"/>
      <c r="DE152" s="226"/>
      <c r="DF152" s="226"/>
      <c r="DG152" s="226"/>
      <c r="DH152" s="226"/>
      <c r="DI152" s="226"/>
    </row>
    <row r="153" spans="1:113" s="140" customFormat="1" x14ac:dyDescent="0.3">
      <c r="A153" s="218"/>
      <c r="B153" s="226"/>
      <c r="C153" s="226"/>
      <c r="D153" s="408">
        <v>14</v>
      </c>
      <c r="E153" s="273">
        <f t="shared" si="35"/>
        <v>44958.75</v>
      </c>
      <c r="F153" s="243">
        <f t="shared" si="36"/>
        <v>71648</v>
      </c>
      <c r="G153" s="243">
        <f t="shared" si="37"/>
        <v>48215.033397055697</v>
      </c>
      <c r="H153" s="243">
        <f t="shared" si="38"/>
        <v>82959.641159472812</v>
      </c>
      <c r="I153" s="244">
        <v>75411</v>
      </c>
      <c r="J153" s="245">
        <v>240791</v>
      </c>
      <c r="K153" s="245"/>
      <c r="L153" s="245">
        <f t="shared" si="39"/>
        <v>176629</v>
      </c>
      <c r="M153" s="245">
        <v>155980</v>
      </c>
      <c r="N153" s="245">
        <v>93109</v>
      </c>
      <c r="O153" s="226"/>
      <c r="P153" s="415"/>
      <c r="Q153" s="415"/>
      <c r="R153" s="419"/>
      <c r="S153" s="89"/>
      <c r="T153" s="146">
        <v>14</v>
      </c>
      <c r="U153" s="428">
        <f t="shared" si="56"/>
        <v>4</v>
      </c>
      <c r="V153" s="126">
        <f t="shared" si="57"/>
        <v>44958</v>
      </c>
      <c r="W153" s="127">
        <v>0.75</v>
      </c>
      <c r="X153" s="128">
        <f t="shared" si="25"/>
        <v>44958.75</v>
      </c>
      <c r="Y153" s="129">
        <f t="shared" si="26"/>
        <v>14</v>
      </c>
      <c r="Z153" s="129">
        <f t="shared" si="58"/>
        <v>1</v>
      </c>
      <c r="AA153" s="141">
        <v>71648</v>
      </c>
      <c r="AB153" s="142">
        <v>395</v>
      </c>
      <c r="AC153" s="143">
        <f t="shared" si="59"/>
        <v>20</v>
      </c>
      <c r="AD153" s="132">
        <f t="shared" ref="AD153" si="165">AA153-AA152</f>
        <v>3360</v>
      </c>
      <c r="AE153" s="133">
        <f t="shared" ref="AE153" si="166">AA153/AB153</f>
        <v>181.3873417721519</v>
      </c>
      <c r="AF153" s="134">
        <f t="shared" ref="AF153" si="167">AD153/AC153</f>
        <v>168</v>
      </c>
      <c r="AG153" s="134">
        <f t="shared" ref="AG153" si="168">SUM(AD149:AD153)/SUM(AC149:AC153)</f>
        <v>157.52112676056339</v>
      </c>
      <c r="AH153" s="130">
        <f t="shared" ref="AH153" si="169">AA153</f>
        <v>71648</v>
      </c>
      <c r="AI153" s="371">
        <f t="shared" ref="AI153" si="170">AB153</f>
        <v>395</v>
      </c>
      <c r="AJ153" s="130">
        <f t="shared" ref="AJ153" si="171">AA153</f>
        <v>71648</v>
      </c>
      <c r="AK153" s="371">
        <f t="shared" ref="AK153" si="172">AB153</f>
        <v>395</v>
      </c>
      <c r="AL153" s="132">
        <f t="shared" si="107"/>
        <v>60708.334561617849</v>
      </c>
      <c r="AM153" s="132">
        <f t="shared" si="41"/>
        <v>10939.665438382151</v>
      </c>
      <c r="AN153" s="145">
        <f t="shared" si="108"/>
        <v>319</v>
      </c>
      <c r="AO153" s="145">
        <f t="shared" si="62"/>
        <v>76</v>
      </c>
      <c r="AP153" s="132">
        <f t="shared" si="93"/>
        <v>48215.033397055697</v>
      </c>
      <c r="AQ153" s="132">
        <f t="shared" si="32"/>
        <v>23432.966602944303</v>
      </c>
      <c r="AR153" s="145">
        <f t="shared" si="94"/>
        <v>253</v>
      </c>
      <c r="AS153" s="93">
        <f t="shared" si="45"/>
        <v>142</v>
      </c>
      <c r="AT153" s="132">
        <f t="shared" si="95"/>
        <v>82959.641159472812</v>
      </c>
      <c r="AU153" s="132">
        <f t="shared" si="33"/>
        <v>-11311.641159472812</v>
      </c>
      <c r="AV153" s="145">
        <f t="shared" si="96"/>
        <v>465</v>
      </c>
      <c r="AW153" s="93">
        <f t="shared" si="77"/>
        <v>-70</v>
      </c>
      <c r="AX153" s="132">
        <f t="shared" si="97"/>
        <v>3360</v>
      </c>
      <c r="AY153" s="132">
        <f t="shared" si="98"/>
        <v>5117.7142857142853</v>
      </c>
      <c r="AZ153" s="130">
        <f t="shared" si="50"/>
        <v>71648</v>
      </c>
      <c r="BA153" s="67">
        <f t="shared" si="51"/>
        <v>395</v>
      </c>
      <c r="BB153" s="145">
        <f t="shared" si="52"/>
        <v>20</v>
      </c>
      <c r="BC153" s="145">
        <f t="shared" si="53"/>
        <v>3360</v>
      </c>
      <c r="BD153" s="136">
        <f t="shared" si="63"/>
        <v>2.9032341683011761E-2</v>
      </c>
      <c r="BE153" s="136">
        <f t="shared" si="64"/>
        <v>0.61908012407869839</v>
      </c>
      <c r="BF153" s="137">
        <f t="shared" si="65"/>
        <v>3.1007751937984496E-2</v>
      </c>
      <c r="BG153" s="137">
        <f t="shared" si="78"/>
        <v>0.61240310077519378</v>
      </c>
      <c r="BH153" s="130">
        <v>240791</v>
      </c>
      <c r="BI153" s="67">
        <v>1060</v>
      </c>
      <c r="BJ153" s="145">
        <f t="shared" si="79"/>
        <v>49</v>
      </c>
      <c r="BK153" s="145">
        <f t="shared" si="80"/>
        <v>11090</v>
      </c>
      <c r="BL153" s="136">
        <f t="shared" si="66"/>
        <v>2.8491711969088163E-2</v>
      </c>
      <c r="BM153" s="136">
        <f t="shared" si="67"/>
        <v>0.61862469041918011</v>
      </c>
      <c r="BN153" s="137">
        <f t="shared" si="68"/>
        <v>2.9589371980676328E-2</v>
      </c>
      <c r="BO153" s="137">
        <f t="shared" si="81"/>
        <v>0.64009661835748799</v>
      </c>
      <c r="BP153" s="130">
        <v>176629</v>
      </c>
      <c r="BQ153" s="67">
        <v>1232</v>
      </c>
      <c r="BR153" s="145">
        <f t="shared" si="82"/>
        <v>27</v>
      </c>
      <c r="BS153" s="145">
        <f t="shared" si="83"/>
        <v>4193</v>
      </c>
      <c r="BT153" s="136">
        <f t="shared" si="69"/>
        <v>1.7530143652691607E-2</v>
      </c>
      <c r="BU153" s="136">
        <f t="shared" si="70"/>
        <v>0.73845259795641927</v>
      </c>
      <c r="BV153" s="137">
        <f t="shared" si="71"/>
        <v>1.622596153846154E-2</v>
      </c>
      <c r="BW153" s="137">
        <f t="shared" si="84"/>
        <v>0.74038461538461553</v>
      </c>
      <c r="BX153" s="136">
        <v>2.3033077410250999E-2</v>
      </c>
      <c r="BY153" s="136">
        <v>0.64063732625193048</v>
      </c>
      <c r="BZ153" s="137">
        <v>2.2267206477732792E-2</v>
      </c>
      <c r="CA153" s="137">
        <v>0.668016194331984</v>
      </c>
      <c r="CB153" s="136">
        <v>1.0799328690378706E-2</v>
      </c>
      <c r="CC153" s="136">
        <v>0.61140253443704862</v>
      </c>
      <c r="CD153" s="137">
        <v>1.0703363914373088E-2</v>
      </c>
      <c r="CE153" s="137">
        <v>0.63761467889908252</v>
      </c>
      <c r="CF153" s="136">
        <v>2.3730363959399793E-2</v>
      </c>
      <c r="CG153" s="136">
        <f t="shared" si="54"/>
        <v>0.54596255445904507</v>
      </c>
      <c r="CH153" s="137">
        <v>2.2486772486772486E-2</v>
      </c>
      <c r="CI153" s="137">
        <f>SUM(CH$138:CH153)</f>
        <v>0.53306878306878303</v>
      </c>
      <c r="CJ153" s="138">
        <f>Vergleich!C17</f>
        <v>38541</v>
      </c>
      <c r="CK153" s="136">
        <v>1.342529473093268E-2</v>
      </c>
      <c r="CL153" s="136">
        <f t="shared" si="55"/>
        <v>0.61818910899029589</v>
      </c>
      <c r="CM153" s="137">
        <v>2.3054755043227737E-2</v>
      </c>
      <c r="CN153" s="137">
        <f>SUM(CM$138:CM153)</f>
        <v>0.59077809798270897</v>
      </c>
      <c r="CO153" s="138"/>
      <c r="CP153" s="136"/>
      <c r="CQ153" s="226"/>
      <c r="CR153" s="226"/>
      <c r="CS153" s="226"/>
      <c r="CT153" s="226"/>
      <c r="CU153" s="226"/>
      <c r="CV153" s="226"/>
      <c r="CW153" s="226"/>
      <c r="CX153" s="226"/>
      <c r="CY153" s="226"/>
      <c r="CZ153" s="226"/>
      <c r="DA153" s="226"/>
      <c r="DB153" s="226"/>
      <c r="DC153" s="226"/>
      <c r="DD153" s="226"/>
      <c r="DE153" s="226"/>
      <c r="DF153" s="226"/>
      <c r="DG153" s="226"/>
      <c r="DH153" s="226"/>
      <c r="DI153" s="226"/>
    </row>
    <row r="154" spans="1:113" s="140" customFormat="1" x14ac:dyDescent="0.3">
      <c r="A154" s="218"/>
      <c r="B154" s="226"/>
      <c r="C154" s="226"/>
      <c r="D154" s="408">
        <v>15</v>
      </c>
      <c r="E154" s="273">
        <f t="shared" si="35"/>
        <v>44959.75</v>
      </c>
      <c r="F154" s="243">
        <f t="shared" si="36"/>
        <v>75191</v>
      </c>
      <c r="G154" s="243">
        <f t="shared" si="37"/>
        <v>49328.956920596087</v>
      </c>
      <c r="H154" s="243">
        <f t="shared" si="38"/>
        <v>92593.462221400405</v>
      </c>
      <c r="I154" s="244">
        <v>77016</v>
      </c>
      <c r="J154" s="245">
        <v>249000</v>
      </c>
      <c r="K154" s="245"/>
      <c r="L154" s="245">
        <f t="shared" si="39"/>
        <v>188273</v>
      </c>
      <c r="M154" s="245">
        <v>165152</v>
      </c>
      <c r="N154" s="245">
        <v>97466</v>
      </c>
      <c r="O154" s="226"/>
      <c r="P154" s="415"/>
      <c r="Q154" s="415"/>
      <c r="R154" s="419"/>
      <c r="S154" s="89"/>
      <c r="T154" s="146">
        <v>15</v>
      </c>
      <c r="U154" s="428">
        <f t="shared" si="56"/>
        <v>5</v>
      </c>
      <c r="V154" s="126">
        <f t="shared" si="57"/>
        <v>44959</v>
      </c>
      <c r="W154" s="127">
        <v>0.75</v>
      </c>
      <c r="X154" s="128">
        <f t="shared" si="25"/>
        <v>44959.75</v>
      </c>
      <c r="Y154" s="129">
        <f t="shared" si="26"/>
        <v>15</v>
      </c>
      <c r="Z154" s="129">
        <f t="shared" si="58"/>
        <v>1</v>
      </c>
      <c r="AA154" s="141">
        <v>75191</v>
      </c>
      <c r="AB154" s="142">
        <v>415</v>
      </c>
      <c r="AC154" s="143">
        <f t="shared" si="59"/>
        <v>20</v>
      </c>
      <c r="AD154" s="132">
        <f t="shared" ref="AD154" si="173">AA154-AA153</f>
        <v>3543</v>
      </c>
      <c r="AE154" s="133">
        <f t="shared" ref="AE154" si="174">AA154/AB154</f>
        <v>181.18313253012047</v>
      </c>
      <c r="AF154" s="134">
        <f t="shared" ref="AF154" si="175">AD154/AC154</f>
        <v>177.15</v>
      </c>
      <c r="AG154" s="134">
        <f t="shared" ref="AG154" si="176">SUM(AD150:AD154)/SUM(AC150:AC154)</f>
        <v>159.27848101265823</v>
      </c>
      <c r="AH154" s="130">
        <f t="shared" ref="AH154:AH155" si="177">AA154</f>
        <v>75191</v>
      </c>
      <c r="AI154" s="371">
        <f t="shared" ref="AI154:AI155" si="178">AB154</f>
        <v>415</v>
      </c>
      <c r="AJ154" s="130">
        <f t="shared" ref="AJ154:AJ155" si="179">AA154</f>
        <v>75191</v>
      </c>
      <c r="AK154" s="371">
        <f t="shared" ref="AK154:AK155" si="180">AB154</f>
        <v>415</v>
      </c>
      <c r="AL154" s="132">
        <f t="shared" si="107"/>
        <v>61907.495818880991</v>
      </c>
      <c r="AM154" s="132">
        <f t="shared" si="41"/>
        <v>13283.504181119009</v>
      </c>
      <c r="AN154" s="145">
        <f t="shared" si="108"/>
        <v>326</v>
      </c>
      <c r="AO154" s="145">
        <f t="shared" si="62"/>
        <v>89</v>
      </c>
      <c r="AP154" s="132">
        <f t="shared" si="93"/>
        <v>49328.956920596087</v>
      </c>
      <c r="AQ154" s="132">
        <f t="shared" si="32"/>
        <v>25862.043079403913</v>
      </c>
      <c r="AR154" s="145">
        <f t="shared" si="94"/>
        <v>259</v>
      </c>
      <c r="AS154" s="93">
        <f t="shared" si="45"/>
        <v>156</v>
      </c>
      <c r="AT154" s="132">
        <f t="shared" si="95"/>
        <v>92593.462221400405</v>
      </c>
      <c r="AU154" s="132">
        <f t="shared" si="33"/>
        <v>-17402.462221400405</v>
      </c>
      <c r="AV154" s="145">
        <f t="shared" si="96"/>
        <v>522</v>
      </c>
      <c r="AW154" s="93">
        <f t="shared" si="77"/>
        <v>-107</v>
      </c>
      <c r="AX154" s="132">
        <f t="shared" si="97"/>
        <v>3543</v>
      </c>
      <c r="AY154" s="132">
        <f t="shared" si="98"/>
        <v>5012.7333333333336</v>
      </c>
      <c r="AZ154" s="130">
        <f t="shared" si="50"/>
        <v>75191</v>
      </c>
      <c r="BA154" s="67">
        <f t="shared" si="51"/>
        <v>415</v>
      </c>
      <c r="BB154" s="145">
        <f t="shared" si="52"/>
        <v>20</v>
      </c>
      <c r="BC154" s="145">
        <f t="shared" si="53"/>
        <v>3543</v>
      </c>
      <c r="BD154" s="136">
        <f t="shared" si="63"/>
        <v>3.0613567435390079E-2</v>
      </c>
      <c r="BE154" s="136">
        <f t="shared" si="64"/>
        <v>0.64969369151408851</v>
      </c>
      <c r="BF154" s="137">
        <f t="shared" si="65"/>
        <v>3.1007751937984496E-2</v>
      </c>
      <c r="BG154" s="137">
        <f t="shared" si="78"/>
        <v>0.64341085271317833</v>
      </c>
      <c r="BH154" s="130">
        <v>249000</v>
      </c>
      <c r="BI154" s="67">
        <v>1096</v>
      </c>
      <c r="BJ154" s="145">
        <f t="shared" si="79"/>
        <v>36</v>
      </c>
      <c r="BK154" s="145">
        <f t="shared" si="80"/>
        <v>8209</v>
      </c>
      <c r="BL154" s="136">
        <f t="shared" si="66"/>
        <v>2.1090032782168144E-2</v>
      </c>
      <c r="BM154" s="136">
        <f t="shared" si="67"/>
        <v>0.63971472320134826</v>
      </c>
      <c r="BN154" s="137">
        <f t="shared" si="68"/>
        <v>2.1739130434782608E-2</v>
      </c>
      <c r="BO154" s="137">
        <f t="shared" si="81"/>
        <v>0.66183574879227058</v>
      </c>
      <c r="BP154" s="130">
        <v>188273</v>
      </c>
      <c r="BQ154" s="67">
        <v>1313</v>
      </c>
      <c r="BR154" s="145">
        <f t="shared" si="82"/>
        <v>81</v>
      </c>
      <c r="BS154" s="145">
        <f t="shared" si="83"/>
        <v>11644</v>
      </c>
      <c r="BT154" s="136">
        <f t="shared" si="69"/>
        <v>4.86813719751827E-2</v>
      </c>
      <c r="BU154" s="136">
        <f t="shared" si="70"/>
        <v>0.7871339699316019</v>
      </c>
      <c r="BV154" s="137">
        <f t="shared" si="71"/>
        <v>4.8677884615384616E-2</v>
      </c>
      <c r="BW154" s="137">
        <f t="shared" si="84"/>
        <v>0.78906250000000011</v>
      </c>
      <c r="BX154" s="136">
        <v>1.6622037532916301E-2</v>
      </c>
      <c r="BY154" s="136">
        <v>0.65725936378484673</v>
      </c>
      <c r="BZ154" s="137">
        <v>1.417004048582996E-2</v>
      </c>
      <c r="CA154" s="137">
        <v>0.68218623481781393</v>
      </c>
      <c r="CB154" s="136">
        <v>1.3012704615659027E-2</v>
      </c>
      <c r="CC154" s="136">
        <v>0.62441523905270768</v>
      </c>
      <c r="CD154" s="137">
        <v>1.5290519877675841E-2</v>
      </c>
      <c r="CE154" s="137">
        <v>0.65290519877675834</v>
      </c>
      <c r="CF154" s="136">
        <v>2.5548108665951298E-2</v>
      </c>
      <c r="CG154" s="136">
        <f t="shared" si="54"/>
        <v>0.57151066312499632</v>
      </c>
      <c r="CH154" s="137">
        <v>2.5132275132275131E-2</v>
      </c>
      <c r="CI154" s="137">
        <f>SUM(CH$138:CH154)</f>
        <v>0.55820105820105814</v>
      </c>
      <c r="CJ154" s="138">
        <f>Vergleich!C18</f>
        <v>40401</v>
      </c>
      <c r="CK154" s="136">
        <v>2.9833988290961622E-2</v>
      </c>
      <c r="CL154" s="136">
        <f t="shared" si="55"/>
        <v>0.64802309728125751</v>
      </c>
      <c r="CM154" s="137">
        <v>2.5936599423631135E-2</v>
      </c>
      <c r="CN154" s="137">
        <f>SUM(CM$138:CM154)</f>
        <v>0.61671469740634011</v>
      </c>
      <c r="CO154" s="138"/>
      <c r="CP154" s="136"/>
      <c r="CQ154" s="226"/>
      <c r="CR154" s="226"/>
      <c r="CS154" s="226"/>
      <c r="CT154" s="226"/>
      <c r="CU154" s="226"/>
      <c r="CV154" s="226"/>
      <c r="CW154" s="226"/>
      <c r="CX154" s="226"/>
      <c r="CY154" s="226"/>
      <c r="CZ154" s="226"/>
      <c r="DA154" s="226"/>
      <c r="DB154" s="226"/>
      <c r="DC154" s="226"/>
      <c r="DD154" s="226"/>
      <c r="DE154" s="226"/>
      <c r="DF154" s="226"/>
      <c r="DG154" s="226"/>
      <c r="DH154" s="226"/>
      <c r="DI154" s="226"/>
    </row>
    <row r="155" spans="1:113" s="140" customFormat="1" x14ac:dyDescent="0.3">
      <c r="A155" s="218"/>
      <c r="B155" s="226"/>
      <c r="C155" s="226"/>
      <c r="D155" s="408">
        <v>16</v>
      </c>
      <c r="E155" s="273">
        <f t="shared" si="35"/>
        <v>44960.75</v>
      </c>
      <c r="F155" s="243">
        <f t="shared" si="36"/>
        <v>78668</v>
      </c>
      <c r="G155" s="243">
        <f t="shared" si="37"/>
        <v>50859.355408526491</v>
      </c>
      <c r="H155" s="243">
        <f t="shared" si="38"/>
        <v>96722.833650469503</v>
      </c>
      <c r="I155" s="244">
        <v>80049</v>
      </c>
      <c r="J155" s="245">
        <v>257666</v>
      </c>
      <c r="K155" s="245"/>
      <c r="L155" s="245">
        <f t="shared" si="39"/>
        <v>193264</v>
      </c>
      <c r="M155" s="245">
        <v>174081</v>
      </c>
      <c r="N155" s="245">
        <v>103452</v>
      </c>
      <c r="O155" s="226"/>
      <c r="P155" s="415"/>
      <c r="Q155" s="415"/>
      <c r="R155" s="419"/>
      <c r="S155" s="89"/>
      <c r="T155" s="146">
        <v>16</v>
      </c>
      <c r="U155" s="428">
        <f t="shared" si="56"/>
        <v>6</v>
      </c>
      <c r="V155" s="126">
        <f t="shared" si="57"/>
        <v>44960</v>
      </c>
      <c r="W155" s="127">
        <v>0.75</v>
      </c>
      <c r="X155" s="128">
        <f t="shared" si="25"/>
        <v>44960.75</v>
      </c>
      <c r="Y155" s="129">
        <f t="shared" si="26"/>
        <v>16</v>
      </c>
      <c r="Z155" s="129">
        <f t="shared" si="58"/>
        <v>1</v>
      </c>
      <c r="AA155" s="141">
        <v>78668</v>
      </c>
      <c r="AB155" s="142">
        <v>438</v>
      </c>
      <c r="AC155" s="143">
        <f t="shared" si="59"/>
        <v>23</v>
      </c>
      <c r="AD155" s="132">
        <f t="shared" ref="AD155" si="181">AA155-AA154</f>
        <v>3477</v>
      </c>
      <c r="AE155" s="133">
        <f t="shared" ref="AE155" si="182">AA155/AB155</f>
        <v>179.60730593607306</v>
      </c>
      <c r="AF155" s="134">
        <f t="shared" ref="AF155" si="183">AD155/AC155</f>
        <v>151.17391304347825</v>
      </c>
      <c r="AG155" s="134">
        <f t="shared" ref="AG155" si="184">SUM(AD151:AD155)/SUM(AC151:AC155)</f>
        <v>160.87096774193549</v>
      </c>
      <c r="AH155" s="130">
        <f t="shared" si="177"/>
        <v>78668</v>
      </c>
      <c r="AI155" s="371">
        <f t="shared" si="178"/>
        <v>438</v>
      </c>
      <c r="AJ155" s="130">
        <f t="shared" si="179"/>
        <v>78668</v>
      </c>
      <c r="AK155" s="371">
        <f t="shared" si="180"/>
        <v>438</v>
      </c>
      <c r="AL155" s="132">
        <f t="shared" si="107"/>
        <v>64173.574381671715</v>
      </c>
      <c r="AM155" s="132">
        <f t="shared" si="41"/>
        <v>14494.425618328285</v>
      </c>
      <c r="AN155" s="145">
        <f t="shared" si="108"/>
        <v>338</v>
      </c>
      <c r="AO155" s="145">
        <f t="shared" si="62"/>
        <v>100</v>
      </c>
      <c r="AP155" s="132">
        <f t="shared" si="93"/>
        <v>50859.355408526491</v>
      </c>
      <c r="AQ155" s="132">
        <f t="shared" si="32"/>
        <v>27808.644591473509</v>
      </c>
      <c r="AR155" s="145">
        <f t="shared" si="94"/>
        <v>266</v>
      </c>
      <c r="AS155" s="93">
        <f t="shared" si="45"/>
        <v>172</v>
      </c>
      <c r="AT155" s="132">
        <f t="shared" si="95"/>
        <v>96722.833650469503</v>
      </c>
      <c r="AU155" s="132">
        <f t="shared" si="33"/>
        <v>-18054.833650469503</v>
      </c>
      <c r="AV155" s="145">
        <f t="shared" si="96"/>
        <v>548</v>
      </c>
      <c r="AW155" s="93">
        <f t="shared" si="77"/>
        <v>-110</v>
      </c>
      <c r="AX155" s="132">
        <f t="shared" si="97"/>
        <v>3477</v>
      </c>
      <c r="AY155" s="132">
        <f t="shared" si="98"/>
        <v>4916.75</v>
      </c>
      <c r="AZ155" s="130">
        <f t="shared" si="50"/>
        <v>78668</v>
      </c>
      <c r="BA155" s="67">
        <f t="shared" si="51"/>
        <v>438</v>
      </c>
      <c r="BB155" s="145">
        <f t="shared" si="52"/>
        <v>23</v>
      </c>
      <c r="BC155" s="145">
        <f t="shared" si="53"/>
        <v>3477</v>
      </c>
      <c r="BD155" s="136">
        <f t="shared" si="63"/>
        <v>3.0043289295188062E-2</v>
      </c>
      <c r="BE155" s="136">
        <f t="shared" si="64"/>
        <v>0.67973698080927647</v>
      </c>
      <c r="BF155" s="137">
        <f t="shared" si="65"/>
        <v>3.565891472868217E-2</v>
      </c>
      <c r="BG155" s="137">
        <f t="shared" si="78"/>
        <v>0.67906976744186054</v>
      </c>
      <c r="BH155" s="130">
        <v>257666</v>
      </c>
      <c r="BI155" s="67">
        <v>1134</v>
      </c>
      <c r="BJ155" s="145">
        <f t="shared" si="79"/>
        <v>38</v>
      </c>
      <c r="BK155" s="145">
        <f t="shared" si="80"/>
        <v>8666</v>
      </c>
      <c r="BL155" s="136">
        <f t="shared" si="66"/>
        <v>2.2264127675754555E-2</v>
      </c>
      <c r="BM155" s="136">
        <f t="shared" si="67"/>
        <v>0.66197885087710284</v>
      </c>
      <c r="BN155" s="137">
        <f t="shared" si="68"/>
        <v>2.2946859903381644E-2</v>
      </c>
      <c r="BO155" s="137">
        <f t="shared" si="81"/>
        <v>0.68478260869565222</v>
      </c>
      <c r="BP155" s="130">
        <v>193264</v>
      </c>
      <c r="BQ155" s="67">
        <v>1350</v>
      </c>
      <c r="BR155" s="145">
        <f t="shared" si="82"/>
        <v>37</v>
      </c>
      <c r="BS155" s="145">
        <f t="shared" si="83"/>
        <v>4991</v>
      </c>
      <c r="BT155" s="136">
        <f t="shared" si="69"/>
        <v>2.0866431426325736E-2</v>
      </c>
      <c r="BU155" s="136">
        <f t="shared" si="70"/>
        <v>0.80800040135792761</v>
      </c>
      <c r="BV155" s="137">
        <f t="shared" si="71"/>
        <v>2.2235576923076924E-2</v>
      </c>
      <c r="BW155" s="137">
        <f t="shared" si="84"/>
        <v>0.81129807692307698</v>
      </c>
      <c r="BX155" s="136">
        <v>2.9866334818502017E-2</v>
      </c>
      <c r="BY155" s="136">
        <v>0.68712569860334871</v>
      </c>
      <c r="BZ155" s="137">
        <v>2.4291497975708502E-2</v>
      </c>
      <c r="CA155" s="137">
        <v>0.70647773279352244</v>
      </c>
      <c r="CB155" s="136">
        <v>2.4590363301740702E-2</v>
      </c>
      <c r="CC155" s="136">
        <v>0.64900560235444837</v>
      </c>
      <c r="CD155" s="137">
        <v>2.5993883792048929E-2</v>
      </c>
      <c r="CE155" s="137">
        <v>0.67889908256880727</v>
      </c>
      <c r="CF155" s="136">
        <v>3.5100063914249358E-2</v>
      </c>
      <c r="CG155" s="136">
        <f t="shared" si="54"/>
        <v>0.60661072703924568</v>
      </c>
      <c r="CH155" s="137">
        <v>3.0423280423280422E-2</v>
      </c>
      <c r="CI155" s="137">
        <f>SUM(CH$138:CH155)</f>
        <v>0.58862433862433861</v>
      </c>
      <c r="CJ155" s="138">
        <f>Vergleich!C19</f>
        <v>42277</v>
      </c>
      <c r="CK155" s="136">
        <v>3.0090624749378514E-2</v>
      </c>
      <c r="CL155" s="136">
        <f t="shared" si="55"/>
        <v>0.67811372203063602</v>
      </c>
      <c r="CM155" s="137">
        <v>2.8818443804034533E-2</v>
      </c>
      <c r="CN155" s="137">
        <f>SUM(CM$138:CM155)</f>
        <v>0.64553314121037464</v>
      </c>
      <c r="CO155" s="138"/>
      <c r="CP155" s="136"/>
      <c r="CQ155" s="226"/>
      <c r="CR155" s="226"/>
      <c r="CS155" s="226"/>
      <c r="CT155" s="226"/>
      <c r="CU155" s="226"/>
      <c r="CV155" s="226"/>
      <c r="CW155" s="226"/>
      <c r="CX155" s="226"/>
      <c r="CY155" s="226"/>
      <c r="CZ155" s="226"/>
      <c r="DA155" s="226"/>
      <c r="DB155" s="226"/>
      <c r="DC155" s="226"/>
      <c r="DD155" s="226"/>
      <c r="DE155" s="226"/>
      <c r="DF155" s="226"/>
      <c r="DG155" s="226"/>
      <c r="DH155" s="226"/>
      <c r="DI155" s="226"/>
    </row>
    <row r="156" spans="1:113" s="140" customFormat="1" x14ac:dyDescent="0.3">
      <c r="A156" s="218"/>
      <c r="B156" s="226"/>
      <c r="C156" s="226"/>
      <c r="D156" s="408">
        <v>17</v>
      </c>
      <c r="E156" s="273">
        <f t="shared" si="35"/>
        <v>44961.75</v>
      </c>
      <c r="F156" s="243">
        <f t="shared" si="36"/>
        <v>83940</v>
      </c>
      <c r="G156" s="243">
        <f t="shared" si="37"/>
        <v>52417.621159267524</v>
      </c>
      <c r="H156" s="243">
        <f t="shared" si="38"/>
        <v>100857.16926077972</v>
      </c>
      <c r="I156" s="244">
        <v>86833</v>
      </c>
      <c r="J156" s="245">
        <v>268894</v>
      </c>
      <c r="K156" s="245"/>
      <c r="L156" s="245">
        <f t="shared" si="39"/>
        <v>198261</v>
      </c>
      <c r="M156" s="245">
        <v>181054</v>
      </c>
      <c r="N156" s="245">
        <v>109547</v>
      </c>
      <c r="O156" s="226"/>
      <c r="P156" s="415"/>
      <c r="Q156" s="415"/>
      <c r="R156" s="419"/>
      <c r="S156" s="89"/>
      <c r="T156" s="146">
        <v>17</v>
      </c>
      <c r="U156" s="428">
        <f t="shared" si="56"/>
        <v>7</v>
      </c>
      <c r="V156" s="126">
        <f t="shared" si="57"/>
        <v>44961</v>
      </c>
      <c r="W156" s="127">
        <v>0.75</v>
      </c>
      <c r="X156" s="128">
        <f t="shared" si="25"/>
        <v>44961.75</v>
      </c>
      <c r="Y156" s="129">
        <f t="shared" si="26"/>
        <v>17</v>
      </c>
      <c r="Z156" s="129">
        <f t="shared" si="58"/>
        <v>1</v>
      </c>
      <c r="AA156" s="141">
        <v>83940</v>
      </c>
      <c r="AB156" s="142">
        <v>471</v>
      </c>
      <c r="AC156" s="143">
        <f t="shared" si="59"/>
        <v>33</v>
      </c>
      <c r="AD156" s="132">
        <f t="shared" si="60"/>
        <v>5272</v>
      </c>
      <c r="AE156" s="133">
        <f t="shared" si="27"/>
        <v>178.21656050955414</v>
      </c>
      <c r="AF156" s="134">
        <f t="shared" si="61"/>
        <v>159.75757575757575</v>
      </c>
      <c r="AG156" s="134">
        <f t="shared" ref="AG156:AG160" si="185">SUM(AD152:AD156)/SUM(AC152:AC156)</f>
        <v>162.23636363636365</v>
      </c>
      <c r="AH156" s="130">
        <f t="shared" ref="AH156" si="186">AA156</f>
        <v>83940</v>
      </c>
      <c r="AI156" s="371">
        <f t="shared" ref="AI156" si="187">AB156</f>
        <v>471</v>
      </c>
      <c r="AJ156" s="130">
        <f t="shared" ref="AJ156" si="188">AA156</f>
        <v>83940</v>
      </c>
      <c r="AK156" s="371">
        <f t="shared" ref="AK156" si="189">AB156</f>
        <v>471</v>
      </c>
      <c r="AL156" s="132">
        <f t="shared" si="107"/>
        <v>69242.178723897989</v>
      </c>
      <c r="AM156" s="132">
        <f t="shared" si="41"/>
        <v>14697.821276102011</v>
      </c>
      <c r="AN156" s="145">
        <f t="shared" si="108"/>
        <v>369</v>
      </c>
      <c r="AO156" s="145">
        <f t="shared" si="62"/>
        <v>102</v>
      </c>
      <c r="AP156" s="132">
        <f t="shared" si="93"/>
        <v>52417.621159267524</v>
      </c>
      <c r="AQ156" s="132">
        <f t="shared" si="32"/>
        <v>31522.378840732476</v>
      </c>
      <c r="AR156" s="145">
        <f t="shared" si="94"/>
        <v>274</v>
      </c>
      <c r="AS156" s="93">
        <f t="shared" ref="AS156:AS160" si="190">AB156-AR156</f>
        <v>197</v>
      </c>
      <c r="AT156" s="132">
        <f t="shared" si="95"/>
        <v>100857.16926077972</v>
      </c>
      <c r="AU156" s="132">
        <f t="shared" si="33"/>
        <v>-16917.169260779716</v>
      </c>
      <c r="AV156" s="145">
        <f t="shared" si="96"/>
        <v>572</v>
      </c>
      <c r="AW156" s="93">
        <f t="shared" si="48"/>
        <v>-101</v>
      </c>
      <c r="AX156" s="132">
        <f t="shared" si="49"/>
        <v>5272</v>
      </c>
      <c r="AY156" s="132">
        <f t="shared" si="34"/>
        <v>4937.6470588235297</v>
      </c>
      <c r="AZ156" s="130">
        <f t="shared" si="50"/>
        <v>83940</v>
      </c>
      <c r="BA156" s="67">
        <f t="shared" si="51"/>
        <v>471</v>
      </c>
      <c r="BB156" s="145">
        <f t="shared" si="52"/>
        <v>33</v>
      </c>
      <c r="BC156" s="145">
        <f t="shared" si="53"/>
        <v>5272</v>
      </c>
      <c r="BD156" s="136">
        <f t="shared" si="63"/>
        <v>4.5553126593106549E-2</v>
      </c>
      <c r="BE156" s="136">
        <f t="shared" si="64"/>
        <v>0.72529010740238309</v>
      </c>
      <c r="BF156" s="137">
        <f t="shared" si="65"/>
        <v>5.1162790697674418E-2</v>
      </c>
      <c r="BG156" s="137">
        <f t="shared" si="78"/>
        <v>0.73023255813953492</v>
      </c>
      <c r="BH156" s="130">
        <v>268894</v>
      </c>
      <c r="BI156" s="67">
        <v>1160</v>
      </c>
      <c r="BJ156" s="145">
        <f t="shared" si="79"/>
        <v>26</v>
      </c>
      <c r="BK156" s="145">
        <f t="shared" si="80"/>
        <v>11228</v>
      </c>
      <c r="BL156" s="136">
        <f t="shared" si="66"/>
        <v>2.8846252659055174E-2</v>
      </c>
      <c r="BM156" s="136">
        <f t="shared" si="67"/>
        <v>0.690825103536158</v>
      </c>
      <c r="BN156" s="137">
        <f t="shared" si="68"/>
        <v>1.570048309178744E-2</v>
      </c>
      <c r="BO156" s="137">
        <f t="shared" si="81"/>
        <v>0.70048309178743962</v>
      </c>
      <c r="BP156" s="130">
        <v>198261</v>
      </c>
      <c r="BQ156" s="67">
        <v>1384</v>
      </c>
      <c r="BR156" s="145">
        <f t="shared" si="82"/>
        <v>34</v>
      </c>
      <c r="BS156" s="145">
        <f t="shared" si="83"/>
        <v>4997</v>
      </c>
      <c r="BT156" s="136">
        <f t="shared" si="69"/>
        <v>2.0891516296804188E-2</v>
      </c>
      <c r="BU156" s="136">
        <f t="shared" si="70"/>
        <v>0.8288919176547318</v>
      </c>
      <c r="BV156" s="137">
        <f t="shared" si="71"/>
        <v>2.0432692307692308E-2</v>
      </c>
      <c r="BW156" s="137">
        <f t="shared" si="84"/>
        <v>0.83173076923076927</v>
      </c>
      <c r="BX156" s="136">
        <v>2.6844146176153598E-2</v>
      </c>
      <c r="BY156" s="136">
        <v>0.71396984477950232</v>
      </c>
      <c r="BZ156" s="137">
        <v>2.8340080971659919E-2</v>
      </c>
      <c r="CA156" s="137">
        <v>0.7348178137651824</v>
      </c>
      <c r="CB156" s="136">
        <v>5.5001986363009868E-2</v>
      </c>
      <c r="CC156" s="136">
        <v>0.70400758871745828</v>
      </c>
      <c r="CD156" s="137">
        <v>6.5749235474006115E-2</v>
      </c>
      <c r="CE156" s="137">
        <v>0.7446483180428134</v>
      </c>
      <c r="CF156" s="136">
        <v>3.5739206407843276E-2</v>
      </c>
      <c r="CG156" s="136">
        <f t="shared" si="54"/>
        <v>0.64234993344708891</v>
      </c>
      <c r="CH156" s="137">
        <v>3.439153439153439E-2</v>
      </c>
      <c r="CI156" s="137">
        <f>SUM(CH141:CH156)</f>
        <v>0.38624338624338628</v>
      </c>
      <c r="CJ156" s="138">
        <f>Vergleich!C20</f>
        <v>44039</v>
      </c>
      <c r="CK156" s="136">
        <v>2.8262089983158156E-2</v>
      </c>
      <c r="CL156" s="136">
        <f t="shared" si="55"/>
        <v>0.70637581201379418</v>
      </c>
      <c r="CM156" s="137">
        <v>2.5936599423631135E-2</v>
      </c>
      <c r="CN156" s="137">
        <f>SUM(CM141:CM156)</f>
        <v>0.46109510086455335</v>
      </c>
      <c r="CO156" s="138"/>
      <c r="CP156" s="136"/>
      <c r="CQ156" s="226"/>
      <c r="CR156" s="226"/>
      <c r="CS156" s="226"/>
      <c r="CT156" s="226"/>
      <c r="CU156" s="226"/>
      <c r="CV156" s="226"/>
      <c r="CW156" s="226"/>
      <c r="CX156" s="226"/>
      <c r="CY156" s="226"/>
      <c r="CZ156" s="226"/>
      <c r="DA156" s="226"/>
      <c r="DB156" s="226"/>
      <c r="DC156" s="226"/>
      <c r="DD156" s="226"/>
      <c r="DE156" s="226"/>
      <c r="DF156" s="226"/>
      <c r="DG156" s="226"/>
      <c r="DH156" s="226"/>
      <c r="DI156" s="226"/>
    </row>
    <row r="157" spans="1:113" s="140" customFormat="1" x14ac:dyDescent="0.3">
      <c r="A157" s="218"/>
      <c r="B157" s="226"/>
      <c r="C157" s="226"/>
      <c r="D157" s="408">
        <v>18</v>
      </c>
      <c r="E157" s="273">
        <f t="shared" si="35"/>
        <v>44962.75</v>
      </c>
      <c r="F157" s="243">
        <f t="shared" si="36"/>
        <v>87091</v>
      </c>
      <c r="G157" s="243">
        <f t="shared" si="37"/>
        <v>53919.129732541041</v>
      </c>
      <c r="H157" s="243">
        <f t="shared" si="38"/>
        <v>104876.50133900405</v>
      </c>
      <c r="I157" s="244">
        <v>91974</v>
      </c>
      <c r="J157" s="245">
        <v>280832</v>
      </c>
      <c r="K157" s="245"/>
      <c r="L157" s="245">
        <f t="shared" si="39"/>
        <v>203119</v>
      </c>
      <c r="M157" s="245">
        <v>187527</v>
      </c>
      <c r="N157" s="245">
        <v>115420</v>
      </c>
      <c r="O157" s="226"/>
      <c r="P157" s="415"/>
      <c r="Q157" s="415"/>
      <c r="R157" s="419"/>
      <c r="S157" s="89"/>
      <c r="T157" s="146">
        <v>18</v>
      </c>
      <c r="U157" s="428">
        <f t="shared" si="56"/>
        <v>1</v>
      </c>
      <c r="V157" s="126">
        <f t="shared" si="57"/>
        <v>44962</v>
      </c>
      <c r="W157" s="127">
        <v>0.75</v>
      </c>
      <c r="X157" s="128">
        <f t="shared" si="25"/>
        <v>44962.75</v>
      </c>
      <c r="Y157" s="129">
        <f t="shared" si="26"/>
        <v>18</v>
      </c>
      <c r="Z157" s="129">
        <f t="shared" si="58"/>
        <v>1</v>
      </c>
      <c r="AA157" s="141">
        <v>87091</v>
      </c>
      <c r="AB157" s="142">
        <v>491</v>
      </c>
      <c r="AC157" s="143">
        <f t="shared" si="59"/>
        <v>20</v>
      </c>
      <c r="AD157" s="132">
        <f t="shared" si="60"/>
        <v>3151</v>
      </c>
      <c r="AE157" s="133">
        <f t="shared" si="27"/>
        <v>177.37474541751527</v>
      </c>
      <c r="AF157" s="134">
        <f t="shared" si="61"/>
        <v>157.55000000000001</v>
      </c>
      <c r="AG157" s="134">
        <f t="shared" si="185"/>
        <v>162.09482758620689</v>
      </c>
      <c r="AH157" s="130">
        <f t="shared" ref="AH157" si="191">AA157</f>
        <v>87091</v>
      </c>
      <c r="AI157" s="371">
        <f t="shared" ref="AI157" si="192">AB157</f>
        <v>491</v>
      </c>
      <c r="AJ157" s="130">
        <f t="shared" ref="AJ157" si="193">AA157</f>
        <v>87091</v>
      </c>
      <c r="AK157" s="371">
        <f t="shared" ref="AK157" si="194">AB157</f>
        <v>491</v>
      </c>
      <c r="AL157" s="132">
        <f t="shared" si="107"/>
        <v>73083.230451991345</v>
      </c>
      <c r="AM157" s="132">
        <f t="shared" si="41"/>
        <v>14007.769548008655</v>
      </c>
      <c r="AN157" s="145">
        <f t="shared" si="108"/>
        <v>388</v>
      </c>
      <c r="AO157" s="145">
        <f t="shared" si="62"/>
        <v>103</v>
      </c>
      <c r="AP157" s="132">
        <f t="shared" si="93"/>
        <v>53919.129732541041</v>
      </c>
      <c r="AQ157" s="132">
        <f t="shared" si="32"/>
        <v>33171.870267458959</v>
      </c>
      <c r="AR157" s="145">
        <f t="shared" si="94"/>
        <v>283</v>
      </c>
      <c r="AS157" s="93">
        <f t="shared" si="190"/>
        <v>208</v>
      </c>
      <c r="AT157" s="132">
        <f t="shared" si="95"/>
        <v>104876.50133900405</v>
      </c>
      <c r="AU157" s="132">
        <f t="shared" si="33"/>
        <v>-17785.501339004055</v>
      </c>
      <c r="AV157" s="145">
        <f t="shared" si="96"/>
        <v>596</v>
      </c>
      <c r="AW157" s="93">
        <f t="shared" si="48"/>
        <v>-105</v>
      </c>
      <c r="AX157" s="132">
        <f t="shared" si="49"/>
        <v>3151</v>
      </c>
      <c r="AY157" s="132">
        <f t="shared" si="34"/>
        <v>4838.3888888888887</v>
      </c>
      <c r="AZ157" s="130">
        <f t="shared" si="50"/>
        <v>87091</v>
      </c>
      <c r="BA157" s="67">
        <f t="shared" si="51"/>
        <v>491</v>
      </c>
      <c r="BB157" s="145">
        <f t="shared" si="52"/>
        <v>20</v>
      </c>
      <c r="BC157" s="145">
        <f t="shared" si="53"/>
        <v>3151</v>
      </c>
      <c r="BD157" s="136">
        <f t="shared" si="63"/>
        <v>2.7226460905705373E-2</v>
      </c>
      <c r="BE157" s="136">
        <f t="shared" si="64"/>
        <v>0.75251656830808844</v>
      </c>
      <c r="BF157" s="137">
        <f t="shared" si="65"/>
        <v>3.1007751937984496E-2</v>
      </c>
      <c r="BG157" s="137">
        <f t="shared" si="78"/>
        <v>0.76124031007751936</v>
      </c>
      <c r="BH157" s="130">
        <v>280832</v>
      </c>
      <c r="BI157" s="67">
        <v>1210</v>
      </c>
      <c r="BJ157" s="145">
        <f t="shared" si="79"/>
        <v>50</v>
      </c>
      <c r="BK157" s="145">
        <f t="shared" si="80"/>
        <v>11938</v>
      </c>
      <c r="BL157" s="136">
        <f t="shared" si="66"/>
        <v>3.0670338817581109E-2</v>
      </c>
      <c r="BM157" s="136">
        <f t="shared" si="67"/>
        <v>0.72149544235373908</v>
      </c>
      <c r="BN157" s="137">
        <f t="shared" si="68"/>
        <v>3.0193236714975844E-2</v>
      </c>
      <c r="BO157" s="137">
        <f t="shared" si="81"/>
        <v>0.73067632850241548</v>
      </c>
      <c r="BP157" s="130">
        <v>203119</v>
      </c>
      <c r="BQ157" s="67">
        <v>1419</v>
      </c>
      <c r="BR157" s="145">
        <f t="shared" si="82"/>
        <v>35</v>
      </c>
      <c r="BS157" s="145">
        <f t="shared" si="83"/>
        <v>4858</v>
      </c>
      <c r="BT157" s="136">
        <f t="shared" si="69"/>
        <v>2.031038346405338E-2</v>
      </c>
      <c r="BU157" s="136">
        <f t="shared" si="70"/>
        <v>0.84920230111878525</v>
      </c>
      <c r="BV157" s="137">
        <f t="shared" si="71"/>
        <v>2.1033653846153848E-2</v>
      </c>
      <c r="BW157" s="137">
        <f t="shared" si="84"/>
        <v>0.85276442307692313</v>
      </c>
      <c r="BX157" s="136">
        <v>2.7677470250330551E-2</v>
      </c>
      <c r="BY157" s="136">
        <v>0.74164731502983283</v>
      </c>
      <c r="BZ157" s="137">
        <v>2.8340080971659919E-2</v>
      </c>
      <c r="CA157" s="137">
        <v>0.76315789473684237</v>
      </c>
      <c r="CB157" s="136">
        <v>4.1681192790718413E-2</v>
      </c>
      <c r="CC157" s="136">
        <v>0.74568878150817675</v>
      </c>
      <c r="CD157" s="137">
        <v>4.1284403669724773E-2</v>
      </c>
      <c r="CE157" s="137">
        <v>0.78593272171253814</v>
      </c>
      <c r="CF157" s="136">
        <v>3.4437466650248327E-2</v>
      </c>
      <c r="CG157" s="136">
        <f t="shared" si="54"/>
        <v>0.67678740009733729</v>
      </c>
      <c r="CH157" s="137">
        <v>3.968253968253968E-2</v>
      </c>
      <c r="CI157" s="137">
        <f>SUM(CH$138:CH157)</f>
        <v>0.66269841269841268</v>
      </c>
      <c r="CJ157" s="138">
        <f>Vergleich!C21</f>
        <v>46661</v>
      </c>
      <c r="CK157" s="136">
        <v>4.205629962306523E-2</v>
      </c>
      <c r="CL157" s="136">
        <f t="shared" si="55"/>
        <v>0.74843211163685941</v>
      </c>
      <c r="CM157" s="137">
        <v>4.8991354466858761E-2</v>
      </c>
      <c r="CN157" s="137">
        <f>SUM(CM$138:CM157)</f>
        <v>0.72046109510086453</v>
      </c>
      <c r="CO157" s="138"/>
      <c r="CP157" s="136"/>
      <c r="CQ157" s="226"/>
      <c r="CR157" s="226"/>
      <c r="CS157" s="226"/>
      <c r="CT157" s="226"/>
      <c r="CU157" s="226"/>
      <c r="CV157" s="226"/>
      <c r="CW157" s="226"/>
      <c r="CX157" s="226"/>
      <c r="CY157" s="226"/>
      <c r="CZ157" s="226"/>
      <c r="DA157" s="226"/>
      <c r="DB157" s="226"/>
      <c r="DC157" s="226"/>
      <c r="DD157" s="226"/>
      <c r="DE157" s="226"/>
      <c r="DF157" s="226"/>
      <c r="DG157" s="226"/>
      <c r="DH157" s="226"/>
      <c r="DI157" s="226"/>
    </row>
    <row r="158" spans="1:113" s="140" customFormat="1" x14ac:dyDescent="0.3">
      <c r="A158" s="218"/>
      <c r="B158" s="226"/>
      <c r="C158" s="226"/>
      <c r="D158" s="408">
        <v>19</v>
      </c>
      <c r="E158" s="273">
        <f t="shared" si="35"/>
        <v>44963.75</v>
      </c>
      <c r="F158" s="243">
        <f t="shared" si="36"/>
        <v>91598</v>
      </c>
      <c r="G158" s="243">
        <f t="shared" si="37"/>
        <v>55995.624306375117</v>
      </c>
      <c r="H158" s="243">
        <f t="shared" si="38"/>
        <v>112378.20655787192</v>
      </c>
      <c r="I158" s="244">
        <v>101170</v>
      </c>
      <c r="J158" s="245">
        <v>299641</v>
      </c>
      <c r="K158" s="245"/>
      <c r="L158" s="245">
        <f t="shared" si="39"/>
        <v>212186</v>
      </c>
      <c r="M158" s="245">
        <v>197700</v>
      </c>
      <c r="N158" s="245">
        <v>123542</v>
      </c>
      <c r="O158" s="226"/>
      <c r="P158" s="415"/>
      <c r="Q158" s="415"/>
      <c r="R158" s="419"/>
      <c r="S158" s="89"/>
      <c r="T158" s="146">
        <v>19</v>
      </c>
      <c r="U158" s="428">
        <f t="shared" si="56"/>
        <v>2</v>
      </c>
      <c r="V158" s="126">
        <f t="shared" si="57"/>
        <v>44963</v>
      </c>
      <c r="W158" s="127">
        <v>0.75</v>
      </c>
      <c r="X158" s="128">
        <f t="shared" si="25"/>
        <v>44963.75</v>
      </c>
      <c r="Y158" s="129">
        <f t="shared" si="26"/>
        <v>19</v>
      </c>
      <c r="Z158" s="129">
        <f t="shared" si="58"/>
        <v>1</v>
      </c>
      <c r="AA158" s="141">
        <v>91598</v>
      </c>
      <c r="AB158" s="142">
        <v>519</v>
      </c>
      <c r="AC158" s="143">
        <f t="shared" si="59"/>
        <v>28</v>
      </c>
      <c r="AD158" s="132">
        <f t="shared" si="60"/>
        <v>4507</v>
      </c>
      <c r="AE158" s="133">
        <f t="shared" si="27"/>
        <v>176.48940269749519</v>
      </c>
      <c r="AF158" s="134">
        <f t="shared" si="61"/>
        <v>160.96428571428572</v>
      </c>
      <c r="AG158" s="134">
        <f t="shared" si="185"/>
        <v>160.88709677419354</v>
      </c>
      <c r="AH158" s="130">
        <f t="shared" ref="AH158" si="195">AA158</f>
        <v>91598</v>
      </c>
      <c r="AI158" s="371">
        <f t="shared" ref="AI158" si="196">AB158</f>
        <v>519</v>
      </c>
      <c r="AJ158" s="130">
        <f t="shared" ref="AJ158" si="197">AA158</f>
        <v>91598</v>
      </c>
      <c r="AK158" s="371">
        <f t="shared" ref="AK158" si="198">AB158</f>
        <v>519</v>
      </c>
      <c r="AL158" s="132">
        <f t="shared" si="107"/>
        <v>79953.938814478504</v>
      </c>
      <c r="AM158" s="132">
        <f t="shared" si="41"/>
        <v>11644.061185521496</v>
      </c>
      <c r="AN158" s="145">
        <f t="shared" si="108"/>
        <v>413</v>
      </c>
      <c r="AO158" s="145">
        <f t="shared" si="62"/>
        <v>106</v>
      </c>
      <c r="AP158" s="132">
        <f t="shared" si="93"/>
        <v>55995.624306375117</v>
      </c>
      <c r="AQ158" s="132">
        <f t="shared" si="32"/>
        <v>35602.375693624883</v>
      </c>
      <c r="AR158" s="145">
        <f t="shared" si="94"/>
        <v>294</v>
      </c>
      <c r="AS158" s="93">
        <f t="shared" si="190"/>
        <v>225</v>
      </c>
      <c r="AT158" s="132">
        <f t="shared" si="95"/>
        <v>112378.20655787192</v>
      </c>
      <c r="AU158" s="132">
        <f t="shared" si="33"/>
        <v>-20780.206557871919</v>
      </c>
      <c r="AV158" s="145">
        <f t="shared" si="96"/>
        <v>641</v>
      </c>
      <c r="AW158" s="93">
        <f t="shared" si="48"/>
        <v>-122</v>
      </c>
      <c r="AX158" s="132">
        <f t="shared" si="49"/>
        <v>4507</v>
      </c>
      <c r="AY158" s="132">
        <f t="shared" si="34"/>
        <v>4820.9473684210525</v>
      </c>
      <c r="AZ158" s="130">
        <f t="shared" si="50"/>
        <v>91598</v>
      </c>
      <c r="BA158" s="67">
        <f t="shared" si="51"/>
        <v>519</v>
      </c>
      <c r="BB158" s="145">
        <f t="shared" si="52"/>
        <v>28</v>
      </c>
      <c r="BC158" s="145">
        <f t="shared" si="53"/>
        <v>4507</v>
      </c>
      <c r="BD158" s="136">
        <f t="shared" si="63"/>
        <v>3.8943084513492265E-2</v>
      </c>
      <c r="BE158" s="136">
        <f t="shared" si="64"/>
        <v>0.79145965282158071</v>
      </c>
      <c r="BF158" s="137">
        <f t="shared" si="65"/>
        <v>4.3410852713178294E-2</v>
      </c>
      <c r="BG158" s="137">
        <f t="shared" si="78"/>
        <v>0.80465116279069759</v>
      </c>
      <c r="BH158" s="130">
        <v>299641</v>
      </c>
      <c r="BI158" s="67">
        <v>1290</v>
      </c>
      <c r="BJ158" s="145">
        <f t="shared" si="79"/>
        <v>80</v>
      </c>
      <c r="BK158" s="145">
        <f t="shared" si="80"/>
        <v>18809</v>
      </c>
      <c r="BL158" s="136">
        <f t="shared" si="66"/>
        <v>4.8322868388329956E-2</v>
      </c>
      <c r="BM158" s="136">
        <f t="shared" si="67"/>
        <v>0.76981831074206908</v>
      </c>
      <c r="BN158" s="137">
        <f t="shared" si="68"/>
        <v>4.8309178743961352E-2</v>
      </c>
      <c r="BO158" s="137">
        <f t="shared" si="81"/>
        <v>0.77898550724637683</v>
      </c>
      <c r="BP158" s="130">
        <v>212186</v>
      </c>
      <c r="BQ158" s="67">
        <v>1483</v>
      </c>
      <c r="BR158" s="145">
        <f t="shared" si="82"/>
        <v>64</v>
      </c>
      <c r="BS158" s="145">
        <f t="shared" si="83"/>
        <v>9067</v>
      </c>
      <c r="BT158" s="136">
        <f t="shared" si="69"/>
        <v>3.7907420104687527E-2</v>
      </c>
      <c r="BU158" s="136">
        <f t="shared" si="70"/>
        <v>0.88710972122347276</v>
      </c>
      <c r="BV158" s="137">
        <f t="shared" si="71"/>
        <v>3.8461538461538464E-2</v>
      </c>
      <c r="BW158" s="137">
        <f t="shared" si="84"/>
        <v>0.89122596153846156</v>
      </c>
      <c r="BX158" s="136">
        <v>5.2043866179264674E-2</v>
      </c>
      <c r="BY158" s="136">
        <v>0.79369118120909754</v>
      </c>
      <c r="BZ158" s="137">
        <v>4.8582995951417005E-2</v>
      </c>
      <c r="CA158" s="137">
        <v>0.81174089068825939</v>
      </c>
      <c r="CB158" s="136">
        <v>7.4557527505046989E-2</v>
      </c>
      <c r="CC158" s="136">
        <v>0.82024630901322371</v>
      </c>
      <c r="CD158" s="137">
        <v>5.3516819571865444E-2</v>
      </c>
      <c r="CE158" s="137">
        <v>0.83944954128440363</v>
      </c>
      <c r="CF158" s="136">
        <v>4.76249113116494E-2</v>
      </c>
      <c r="CG158" s="136">
        <f t="shared" si="54"/>
        <v>0.72441231140898665</v>
      </c>
      <c r="CH158" s="137">
        <v>4.7619047619047616E-2</v>
      </c>
      <c r="CI158" s="137">
        <f>SUM(CH$138:CH158)</f>
        <v>0.71031746031746024</v>
      </c>
      <c r="CJ158" s="138">
        <f>Vergleich!C22</f>
        <v>49576</v>
      </c>
      <c r="CK158" s="136">
        <v>4.6755954767824237E-2</v>
      </c>
      <c r="CL158" s="136">
        <f t="shared" si="55"/>
        <v>0.79518806640468365</v>
      </c>
      <c r="CM158" s="137">
        <v>4.8991354466858761E-2</v>
      </c>
      <c r="CN158" s="137">
        <f>SUM(CM$138:CM158)</f>
        <v>0.7694524495677233</v>
      </c>
      <c r="CO158" s="138"/>
      <c r="CP158" s="136"/>
      <c r="CQ158" s="226"/>
      <c r="CR158" s="226"/>
      <c r="CS158" s="226"/>
      <c r="CT158" s="226"/>
      <c r="CU158" s="226"/>
      <c r="CV158" s="226"/>
      <c r="CW158" s="226"/>
      <c r="CX158" s="226"/>
      <c r="CY158" s="226"/>
      <c r="CZ158" s="226"/>
      <c r="DA158" s="226"/>
      <c r="DB158" s="226"/>
      <c r="DC158" s="226"/>
      <c r="DD158" s="226"/>
      <c r="DE158" s="226"/>
      <c r="DF158" s="226"/>
      <c r="DG158" s="226"/>
      <c r="DH158" s="226"/>
      <c r="DI158" s="226"/>
    </row>
    <row r="159" spans="1:113" s="140" customFormat="1" x14ac:dyDescent="0.3">
      <c r="A159" s="218"/>
      <c r="B159" s="226"/>
      <c r="C159" s="226"/>
      <c r="D159" s="408">
        <v>20</v>
      </c>
      <c r="E159" s="273">
        <f t="shared" si="35"/>
        <v>44964.75</v>
      </c>
      <c r="F159" s="243">
        <f t="shared" si="36"/>
        <v>99702</v>
      </c>
      <c r="G159" s="243">
        <f t="shared" si="37"/>
        <v>57729.530511711571</v>
      </c>
      <c r="H159" s="243">
        <f t="shared" si="38"/>
        <v>119585.37035643352</v>
      </c>
      <c r="I159" s="244">
        <v>108862</v>
      </c>
      <c r="J159" s="245">
        <v>330836</v>
      </c>
      <c r="K159" s="245"/>
      <c r="L159" s="245">
        <f t="shared" si="39"/>
        <v>220897</v>
      </c>
      <c r="M159" s="245">
        <v>205967</v>
      </c>
      <c r="N159" s="245">
        <v>130324</v>
      </c>
      <c r="O159" s="226"/>
      <c r="P159" s="415"/>
      <c r="Q159" s="415"/>
      <c r="R159" s="419"/>
      <c r="S159" s="89"/>
      <c r="T159" s="146">
        <v>20</v>
      </c>
      <c r="U159" s="428">
        <f t="shared" si="56"/>
        <v>3</v>
      </c>
      <c r="V159" s="126">
        <f t="shared" si="57"/>
        <v>44964</v>
      </c>
      <c r="W159" s="127">
        <v>0.75</v>
      </c>
      <c r="X159" s="128">
        <f t="shared" si="25"/>
        <v>44964.75</v>
      </c>
      <c r="Y159" s="129">
        <f t="shared" si="26"/>
        <v>20</v>
      </c>
      <c r="Z159" s="129">
        <f t="shared" si="58"/>
        <v>1</v>
      </c>
      <c r="AA159" s="141">
        <v>99702</v>
      </c>
      <c r="AB159" s="142">
        <v>558</v>
      </c>
      <c r="AC159" s="143">
        <f t="shared" si="59"/>
        <v>39</v>
      </c>
      <c r="AD159" s="132">
        <f t="shared" si="60"/>
        <v>8104</v>
      </c>
      <c r="AE159" s="133">
        <f t="shared" si="27"/>
        <v>178.67741935483872</v>
      </c>
      <c r="AF159" s="134">
        <f t="shared" si="61"/>
        <v>207.7948717948718</v>
      </c>
      <c r="AG159" s="134">
        <f t="shared" si="185"/>
        <v>171.4055944055944</v>
      </c>
      <c r="AH159" s="130">
        <f t="shared" ref="AH159" si="199">AA159</f>
        <v>99702</v>
      </c>
      <c r="AI159" s="371">
        <f t="shared" ref="AI159" si="200">AB159</f>
        <v>558</v>
      </c>
      <c r="AJ159" s="130">
        <f t="shared" ref="AJ159" si="201">AA159</f>
        <v>99702</v>
      </c>
      <c r="AK159" s="371">
        <f t="shared" ref="AK159" si="202">AB159</f>
        <v>558</v>
      </c>
      <c r="AL159" s="132">
        <f t="shared" si="107"/>
        <v>85700.947157698509</v>
      </c>
      <c r="AM159" s="132">
        <f t="shared" si="41"/>
        <v>14001.052842301491</v>
      </c>
      <c r="AN159" s="145">
        <f t="shared" si="108"/>
        <v>438</v>
      </c>
      <c r="AO159" s="145">
        <f t="shared" si="62"/>
        <v>120</v>
      </c>
      <c r="AP159" s="132">
        <f t="shared" si="93"/>
        <v>57729.530511711571</v>
      </c>
      <c r="AQ159" s="132">
        <f t="shared" si="32"/>
        <v>41972.469488288429</v>
      </c>
      <c r="AR159" s="145">
        <f t="shared" si="94"/>
        <v>306</v>
      </c>
      <c r="AS159" s="93">
        <f t="shared" si="190"/>
        <v>252</v>
      </c>
      <c r="AT159" s="132">
        <f t="shared" si="95"/>
        <v>119585.37035643352</v>
      </c>
      <c r="AU159" s="132">
        <f t="shared" si="33"/>
        <v>-19883.370356433516</v>
      </c>
      <c r="AV159" s="145">
        <f t="shared" si="96"/>
        <v>684</v>
      </c>
      <c r="AW159" s="93">
        <f t="shared" si="48"/>
        <v>-126</v>
      </c>
      <c r="AX159" s="132">
        <f t="shared" si="49"/>
        <v>8104</v>
      </c>
      <c r="AY159" s="132">
        <f t="shared" si="34"/>
        <v>4985.1000000000004</v>
      </c>
      <c r="AZ159" s="130">
        <f t="shared" si="50"/>
        <v>99702</v>
      </c>
      <c r="BA159" s="67">
        <f t="shared" si="51"/>
        <v>558</v>
      </c>
      <c r="BB159" s="145">
        <f t="shared" si="52"/>
        <v>39</v>
      </c>
      <c r="BC159" s="145">
        <f t="shared" si="53"/>
        <v>8104</v>
      </c>
      <c r="BD159" s="136">
        <f t="shared" si="63"/>
        <v>7.0023243154502174E-2</v>
      </c>
      <c r="BE159" s="136">
        <f t="shared" si="64"/>
        <v>0.86148289597608285</v>
      </c>
      <c r="BF159" s="137">
        <f t="shared" si="65"/>
        <v>6.0465116279069767E-2</v>
      </c>
      <c r="BG159" s="137">
        <f t="shared" si="78"/>
        <v>0.8651162790697674</v>
      </c>
      <c r="BH159" s="130">
        <v>330836</v>
      </c>
      <c r="BI159" s="67">
        <v>1421</v>
      </c>
      <c r="BJ159" s="145">
        <f t="shared" si="79"/>
        <v>131</v>
      </c>
      <c r="BK159" s="145">
        <f t="shared" si="80"/>
        <v>31195</v>
      </c>
      <c r="BL159" s="136">
        <f t="shared" si="66"/>
        <v>8.0144179880586586E-2</v>
      </c>
      <c r="BM159" s="136">
        <f t="shared" si="67"/>
        <v>0.84996249062265561</v>
      </c>
      <c r="BN159" s="137">
        <f t="shared" si="68"/>
        <v>7.9106280193236719E-2</v>
      </c>
      <c r="BO159" s="137">
        <f t="shared" si="81"/>
        <v>0.85809178743961356</v>
      </c>
      <c r="BP159" s="130">
        <v>220897</v>
      </c>
      <c r="BQ159" s="67">
        <v>1545</v>
      </c>
      <c r="BR159" s="145">
        <f t="shared" si="82"/>
        <v>62</v>
      </c>
      <c r="BS159" s="145">
        <f t="shared" si="83"/>
        <v>8711</v>
      </c>
      <c r="BT159" s="136">
        <f t="shared" si="69"/>
        <v>3.6419051122966034E-2</v>
      </c>
      <c r="BU159" s="136">
        <f t="shared" si="70"/>
        <v>0.92352877234643882</v>
      </c>
      <c r="BV159" s="137">
        <f t="shared" si="71"/>
        <v>3.7259615384615384E-2</v>
      </c>
      <c r="BW159" s="137">
        <f t="shared" si="84"/>
        <v>0.92848557692307698</v>
      </c>
      <c r="BX159" s="136">
        <v>8.3999066677036924E-2</v>
      </c>
      <c r="BY159" s="136">
        <v>0.87769024788613448</v>
      </c>
      <c r="BZ159" s="137">
        <v>7.8947368421052627E-2</v>
      </c>
      <c r="CA159" s="137">
        <v>0.89068825910931204</v>
      </c>
      <c r="CB159" s="136">
        <v>6.2363690905700458E-2</v>
      </c>
      <c r="CC159" s="136">
        <v>0.88260999991892419</v>
      </c>
      <c r="CD159" s="137">
        <v>5.3516819571865444E-2</v>
      </c>
      <c r="CE159" s="137">
        <v>0.89296636085626913</v>
      </c>
      <c r="CF159" s="136">
        <v>3.9767563225265479E-2</v>
      </c>
      <c r="CG159" s="136">
        <f t="shared" si="54"/>
        <v>0.76417987463425208</v>
      </c>
      <c r="CH159" s="137">
        <v>5.1587301587301584E-2</v>
      </c>
      <c r="CI159" s="137">
        <f>SUM(CH$138:CH159)</f>
        <v>0.76190476190476186</v>
      </c>
      <c r="CJ159" s="138">
        <f>Vergleich!C23</f>
        <v>54612</v>
      </c>
      <c r="CK159" s="136">
        <v>8.077632528671097E-2</v>
      </c>
      <c r="CL159" s="136">
        <f t="shared" si="55"/>
        <v>0.87596439169139462</v>
      </c>
      <c r="CM159" s="137">
        <v>9.5100864553314124E-2</v>
      </c>
      <c r="CN159" s="137">
        <f>SUM(CM$138:CM159)</f>
        <v>0.86455331412103742</v>
      </c>
      <c r="CO159" s="138"/>
      <c r="CP159" s="136"/>
      <c r="CQ159" s="226"/>
      <c r="CR159" s="226"/>
      <c r="CS159" s="226"/>
      <c r="CT159" s="226"/>
      <c r="CU159" s="226"/>
      <c r="CV159" s="226"/>
      <c r="CW159" s="226"/>
      <c r="CX159" s="226"/>
      <c r="CY159" s="226"/>
      <c r="CZ159" s="226"/>
      <c r="DA159" s="226"/>
      <c r="DB159" s="226"/>
      <c r="DC159" s="226"/>
      <c r="DD159" s="226"/>
      <c r="DE159" s="226"/>
      <c r="DF159" s="226"/>
      <c r="DG159" s="226"/>
      <c r="DH159" s="226"/>
      <c r="DI159" s="226"/>
    </row>
    <row r="160" spans="1:113" s="161" customFormat="1" x14ac:dyDescent="0.3">
      <c r="A160" s="219"/>
      <c r="B160" s="220"/>
      <c r="C160" s="220"/>
      <c r="D160" s="408">
        <v>21</v>
      </c>
      <c r="E160" s="273">
        <f t="shared" si="35"/>
        <v>44965.75</v>
      </c>
      <c r="F160" s="390">
        <f t="shared" si="36"/>
        <v>115733</v>
      </c>
      <c r="G160" s="241">
        <f>AP170</f>
        <v>68011.527836986745</v>
      </c>
      <c r="H160" s="243">
        <f t="shared" si="38"/>
        <v>134718.67686997849</v>
      </c>
      <c r="I160" s="411">
        <v>123868</v>
      </c>
      <c r="J160" s="350">
        <v>389236</v>
      </c>
      <c r="K160" s="293">
        <v>266116</v>
      </c>
      <c r="L160" s="294">
        <f t="shared" si="39"/>
        <v>239188</v>
      </c>
      <c r="M160" s="384">
        <v>231697</v>
      </c>
      <c r="N160" s="292">
        <v>170541</v>
      </c>
      <c r="O160" s="204"/>
      <c r="P160" s="387"/>
      <c r="Q160" s="387"/>
      <c r="R160" s="195"/>
      <c r="S160" s="147"/>
      <c r="T160" s="148">
        <v>21</v>
      </c>
      <c r="U160" s="149">
        <f t="shared" si="56"/>
        <v>4</v>
      </c>
      <c r="V160" s="150">
        <f t="shared" si="57"/>
        <v>44965</v>
      </c>
      <c r="W160" s="151">
        <v>0.75</v>
      </c>
      <c r="X160" s="152">
        <f t="shared" si="25"/>
        <v>44965.75</v>
      </c>
      <c r="Y160" s="153">
        <f t="shared" si="26"/>
        <v>21</v>
      </c>
      <c r="Z160" s="153">
        <f t="shared" si="58"/>
        <v>1</v>
      </c>
      <c r="AA160" s="288">
        <v>115733</v>
      </c>
      <c r="AB160" s="173">
        <v>645</v>
      </c>
      <c r="AC160" s="143">
        <f t="shared" si="59"/>
        <v>87</v>
      </c>
      <c r="AD160" s="156">
        <f t="shared" si="60"/>
        <v>16031</v>
      </c>
      <c r="AE160" s="154">
        <f t="shared" si="27"/>
        <v>179.43100775193798</v>
      </c>
      <c r="AF160" s="155">
        <f t="shared" si="61"/>
        <v>184.26436781609195</v>
      </c>
      <c r="AG160" s="155">
        <f t="shared" si="185"/>
        <v>179.05797101449275</v>
      </c>
      <c r="AH160" s="382">
        <f t="shared" ref="AH160" si="203">AH159+AP160-AP159</f>
        <v>109983.99732527518</v>
      </c>
      <c r="AI160" s="383">
        <f t="shared" ref="AI160" si="204">AI159+AR160-AR159</f>
        <v>613</v>
      </c>
      <c r="AJ160" s="382">
        <f t="shared" ref="AJ160" si="205">AJ159+AT160-AT159</f>
        <v>114835.30651354497</v>
      </c>
      <c r="AK160" s="383">
        <f t="shared" ref="AK160" si="206">AK159+AV160-AV159</f>
        <v>641</v>
      </c>
      <c r="AL160" s="156">
        <f t="shared" si="107"/>
        <v>96518.801266055569</v>
      </c>
      <c r="AM160" s="135">
        <f t="shared" si="41"/>
        <v>19214.198733944431</v>
      </c>
      <c r="AN160" s="157">
        <f t="shared" si="108"/>
        <v>488</v>
      </c>
      <c r="AO160" s="423">
        <f t="shared" si="62"/>
        <v>157</v>
      </c>
      <c r="AP160" s="156">
        <f t="shared" si="93"/>
        <v>68011.527836986745</v>
      </c>
      <c r="AQ160" s="135">
        <f t="shared" ref="AQ160" si="207">AA160-AP160</f>
        <v>47721.472163013255</v>
      </c>
      <c r="AR160" s="157">
        <f t="shared" si="94"/>
        <v>361</v>
      </c>
      <c r="AS160" s="105">
        <f t="shared" si="190"/>
        <v>284</v>
      </c>
      <c r="AT160" s="156">
        <f t="shared" si="95"/>
        <v>134718.67686997849</v>
      </c>
      <c r="AU160" s="135">
        <f t="shared" ref="AU160" si="208">AA160-AT160</f>
        <v>-18985.676869978488</v>
      </c>
      <c r="AV160" s="157">
        <f t="shared" si="96"/>
        <v>767</v>
      </c>
      <c r="AW160" s="105">
        <f t="shared" si="48"/>
        <v>-122</v>
      </c>
      <c r="AX160" s="156">
        <f t="shared" si="49"/>
        <v>16031</v>
      </c>
      <c r="AY160" s="156">
        <f t="shared" si="34"/>
        <v>5511.0952380952385</v>
      </c>
      <c r="AZ160" s="288">
        <f t="shared" si="50"/>
        <v>115733</v>
      </c>
      <c r="BA160" s="82">
        <f t="shared" si="51"/>
        <v>645</v>
      </c>
      <c r="BB160" s="157">
        <f t="shared" si="52"/>
        <v>87</v>
      </c>
      <c r="BC160" s="157">
        <f t="shared" si="53"/>
        <v>16031</v>
      </c>
      <c r="BD160" s="158">
        <f t="shared" si="63"/>
        <v>0.13851710402391712</v>
      </c>
      <c r="BE160" s="158">
        <f t="shared" si="64"/>
        <v>1</v>
      </c>
      <c r="BF160" s="159">
        <f t="shared" si="65"/>
        <v>0.13488372093023257</v>
      </c>
      <c r="BG160" s="159">
        <f t="shared" si="78"/>
        <v>1</v>
      </c>
      <c r="BH160" s="288">
        <v>389236</v>
      </c>
      <c r="BI160" s="82">
        <v>1656</v>
      </c>
      <c r="BJ160" s="157">
        <f t="shared" si="79"/>
        <v>235</v>
      </c>
      <c r="BK160" s="157">
        <f t="shared" si="80"/>
        <v>58400</v>
      </c>
      <c r="BL160" s="158">
        <f t="shared" si="66"/>
        <v>0.15003750937734434</v>
      </c>
      <c r="BM160" s="158">
        <f t="shared" si="67"/>
        <v>1</v>
      </c>
      <c r="BN160" s="159">
        <f t="shared" si="68"/>
        <v>0.14190821256038647</v>
      </c>
      <c r="BO160" s="159">
        <f t="shared" si="81"/>
        <v>1</v>
      </c>
      <c r="BP160" s="288">
        <v>239188</v>
      </c>
      <c r="BQ160" s="82">
        <v>1664</v>
      </c>
      <c r="BR160" s="157">
        <f t="shared" si="82"/>
        <v>119</v>
      </c>
      <c r="BS160" s="157">
        <f t="shared" si="83"/>
        <v>18291</v>
      </c>
      <c r="BT160" s="158">
        <f t="shared" si="69"/>
        <v>7.6471227653561222E-2</v>
      </c>
      <c r="BU160" s="158">
        <f t="shared" si="70"/>
        <v>1</v>
      </c>
      <c r="BV160" s="159">
        <f t="shared" si="71"/>
        <v>7.1514423076923073E-2</v>
      </c>
      <c r="BW160" s="159">
        <f t="shared" si="84"/>
        <v>1</v>
      </c>
      <c r="BX160" s="158">
        <v>0.1223097521138654</v>
      </c>
      <c r="BY160" s="158">
        <v>0.99999999999999989</v>
      </c>
      <c r="BZ160" s="159">
        <v>0.11336032388663968</v>
      </c>
      <c r="CA160" s="159">
        <v>1.0040485829959518</v>
      </c>
      <c r="CB160" s="158">
        <v>0.11739000008107604</v>
      </c>
      <c r="CC160" s="158">
        <v>1.0000000000000002</v>
      </c>
      <c r="CD160" s="159">
        <v>0.10703363914373089</v>
      </c>
      <c r="CE160" s="159">
        <v>1</v>
      </c>
      <c r="CF160" s="158">
        <v>0.23582012536574781</v>
      </c>
      <c r="CG160" s="158">
        <f t="shared" si="54"/>
        <v>0.99999999999999989</v>
      </c>
      <c r="CH160" s="159">
        <v>0.23809523809523808</v>
      </c>
      <c r="CI160" s="159">
        <f>SUM(CH$138:CH160)</f>
        <v>1</v>
      </c>
      <c r="CJ160" s="160">
        <f>Vergleich!C24</f>
        <v>62345</v>
      </c>
      <c r="CK160" s="158">
        <v>0.12403560830860538</v>
      </c>
      <c r="CL160" s="158">
        <f t="shared" si="55"/>
        <v>1</v>
      </c>
      <c r="CM160" s="159">
        <v>0.13544668587896258</v>
      </c>
      <c r="CN160" s="159">
        <f>SUM(CM$138:CM160)</f>
        <v>1</v>
      </c>
      <c r="CO160" s="160">
        <f>EK162</f>
        <v>0</v>
      </c>
      <c r="CP160" s="158"/>
      <c r="CQ160" s="220"/>
      <c r="CR160" s="220"/>
      <c r="CS160" s="220"/>
      <c r="CT160" s="220"/>
      <c r="CU160" s="220"/>
      <c r="CV160" s="220"/>
      <c r="CW160" s="220"/>
      <c r="CX160" s="220"/>
      <c r="CY160" s="220"/>
      <c r="CZ160" s="220"/>
      <c r="DA160" s="220"/>
      <c r="DB160" s="220"/>
      <c r="DC160" s="220"/>
      <c r="DD160" s="220"/>
      <c r="DE160" s="220"/>
      <c r="DF160" s="220"/>
      <c r="DG160" s="220"/>
      <c r="DH160" s="220"/>
      <c r="DI160" s="220"/>
    </row>
    <row r="161" spans="1:113" s="161" customFormat="1" x14ac:dyDescent="0.3">
      <c r="A161" s="219"/>
      <c r="B161" s="220"/>
      <c r="C161" s="220"/>
      <c r="D161" s="407"/>
      <c r="E161" s="274"/>
      <c r="F161" s="352"/>
      <c r="G161" s="241"/>
      <c r="H161" s="243"/>
      <c r="I161" s="243"/>
      <c r="J161" s="292"/>
      <c r="K161" s="293"/>
      <c r="L161" s="294"/>
      <c r="M161" s="350"/>
      <c r="N161" s="350"/>
      <c r="O161" s="204"/>
      <c r="P161" s="350"/>
      <c r="Q161" s="350"/>
      <c r="R161" s="195"/>
      <c r="S161" s="147"/>
      <c r="T161" s="148"/>
      <c r="U161" s="149"/>
      <c r="V161" s="150"/>
      <c r="W161" s="151"/>
      <c r="X161" s="152"/>
      <c r="Y161" s="153"/>
      <c r="Z161" s="153"/>
      <c r="AA161" s="156"/>
      <c r="AB161" s="174"/>
      <c r="AC161" s="203">
        <f>SUM(AC138:AC160)</f>
        <v>645</v>
      </c>
      <c r="AD161" s="164">
        <f>SUM(AD138:AD160)</f>
        <v>115733</v>
      </c>
      <c r="AE161" s="163"/>
      <c r="AF161" s="165">
        <f>AD161/AC161</f>
        <v>179.43100775193798</v>
      </c>
      <c r="AG161" s="165"/>
      <c r="AH161" s="155"/>
      <c r="AI161" s="155"/>
      <c r="AJ161" s="155"/>
      <c r="AK161" s="157"/>
      <c r="AL161" s="157"/>
      <c r="AM161" s="157"/>
      <c r="AN161" s="157"/>
      <c r="AO161" s="157"/>
      <c r="AP161" s="156"/>
      <c r="AQ161" s="135"/>
      <c r="AR161" s="157"/>
      <c r="AS161" s="105"/>
      <c r="AT161" s="156"/>
      <c r="AU161" s="135"/>
      <c r="AV161" s="157"/>
      <c r="AW161" s="105"/>
      <c r="AX161" s="156"/>
      <c r="AY161" s="156"/>
      <c r="AZ161" s="156"/>
      <c r="BA161" s="157"/>
      <c r="BB161" s="157"/>
      <c r="BC161" s="157"/>
      <c r="BD161" s="158"/>
      <c r="BE161" s="158"/>
      <c r="BF161" s="159"/>
      <c r="BG161" s="159"/>
      <c r="BH161" s="156"/>
      <c r="BI161" s="157"/>
      <c r="BJ161" s="157"/>
      <c r="BK161" s="157"/>
      <c r="BL161" s="158"/>
      <c r="BM161" s="158"/>
      <c r="BN161" s="159"/>
      <c r="BO161" s="159"/>
      <c r="BP161" s="156"/>
      <c r="BQ161" s="157"/>
      <c r="BR161" s="157"/>
      <c r="BS161" s="157"/>
      <c r="BT161" s="158"/>
      <c r="BU161" s="158"/>
      <c r="BV161" s="159"/>
      <c r="BW161" s="159"/>
      <c r="BX161" s="158"/>
      <c r="BY161" s="158"/>
      <c r="BZ161" s="159"/>
      <c r="CA161" s="159"/>
      <c r="CB161" s="158"/>
      <c r="CC161" s="158"/>
      <c r="CD161" s="159"/>
      <c r="CE161" s="159"/>
      <c r="CF161" s="158"/>
      <c r="CG161" s="158"/>
      <c r="CH161" s="159"/>
      <c r="CI161" s="159"/>
      <c r="CJ161" s="160"/>
      <c r="CK161" s="158"/>
      <c r="CL161" s="158"/>
      <c r="CM161" s="159"/>
      <c r="CN161" s="159"/>
      <c r="CO161" s="160"/>
      <c r="CP161" s="158"/>
      <c r="CQ161" s="220"/>
      <c r="CR161" s="220"/>
      <c r="CS161" s="220"/>
      <c r="CT161" s="220"/>
      <c r="CU161" s="220"/>
      <c r="CV161" s="220"/>
      <c r="CW161" s="220"/>
      <c r="CX161" s="220"/>
      <c r="CY161" s="220"/>
      <c r="CZ161" s="220"/>
      <c r="DA161" s="220"/>
      <c r="DB161" s="220"/>
      <c r="DC161" s="220"/>
      <c r="DD161" s="220"/>
      <c r="DE161" s="220"/>
      <c r="DF161" s="220"/>
      <c r="DG161" s="220"/>
      <c r="DH161" s="220"/>
      <c r="DI161" s="220"/>
    </row>
    <row r="162" spans="1:113" s="161" customFormat="1" x14ac:dyDescent="0.3">
      <c r="A162" s="220"/>
      <c r="B162" s="246"/>
      <c r="C162" s="220"/>
      <c r="D162" s="409"/>
      <c r="E162" s="228"/>
      <c r="F162" s="386" t="s">
        <v>18</v>
      </c>
      <c r="G162" s="272" t="s">
        <v>18</v>
      </c>
      <c r="H162" s="222" t="s">
        <v>18</v>
      </c>
      <c r="I162" s="410" t="s">
        <v>18</v>
      </c>
      <c r="J162" s="271" t="s">
        <v>18</v>
      </c>
      <c r="K162" s="269" t="s">
        <v>18</v>
      </c>
      <c r="L162" s="270" t="s">
        <v>18</v>
      </c>
      <c r="M162" s="349" t="s">
        <v>18</v>
      </c>
      <c r="N162" s="286" t="s">
        <v>18</v>
      </c>
      <c r="O162" s="204"/>
      <c r="P162" s="386"/>
      <c r="Q162" s="386"/>
      <c r="R162" s="196"/>
      <c r="S162" s="162"/>
      <c r="T162" s="162"/>
      <c r="U162" s="162"/>
      <c r="V162" s="162"/>
      <c r="W162" s="162"/>
      <c r="X162" s="162"/>
      <c r="Y162" s="147"/>
      <c r="Z162" s="162"/>
      <c r="AA162" s="162"/>
      <c r="AB162" s="163"/>
      <c r="AC162" s="353"/>
      <c r="AD162" s="164"/>
      <c r="AE162" s="163"/>
      <c r="AF162" s="155"/>
      <c r="AG162" s="155"/>
      <c r="AH162" s="156"/>
      <c r="AI162" s="326"/>
      <c r="AJ162" s="156"/>
      <c r="AK162" s="326"/>
      <c r="AL162" s="326"/>
      <c r="AM162" s="326"/>
      <c r="AN162" s="326"/>
      <c r="AO162" s="326"/>
      <c r="AP162" s="326"/>
      <c r="AQ162" s="326"/>
      <c r="AR162" s="326"/>
      <c r="AS162" s="326"/>
      <c r="AT162" s="326"/>
      <c r="AU162" s="326"/>
      <c r="AV162" s="326"/>
      <c r="AW162" s="326"/>
      <c r="AX162" s="326"/>
      <c r="AY162" s="162"/>
      <c r="AZ162" s="162"/>
      <c r="BA162" s="162"/>
      <c r="BB162" s="162"/>
      <c r="BC162" s="162"/>
      <c r="BD162" s="167">
        <f>V162/$AA$160</f>
        <v>0</v>
      </c>
      <c r="BE162" s="167"/>
      <c r="BF162" s="168">
        <f>U162/$AC$161</f>
        <v>0</v>
      </c>
      <c r="BG162" s="169"/>
      <c r="BH162" s="162"/>
      <c r="BI162" s="162"/>
      <c r="BJ162" s="162"/>
      <c r="BK162" s="162"/>
      <c r="BL162" s="167">
        <f>V162/$AA$160</f>
        <v>0</v>
      </c>
      <c r="BM162" s="167"/>
      <c r="BN162" s="168">
        <f>U162/$AC$161</f>
        <v>0</v>
      </c>
      <c r="BO162" s="169"/>
      <c r="BP162" s="162"/>
      <c r="BQ162" s="162"/>
      <c r="BR162" s="162"/>
      <c r="BS162" s="162"/>
      <c r="BT162" s="167">
        <f>AD161/$AA$160</f>
        <v>1</v>
      </c>
      <c r="BU162" s="167"/>
      <c r="BV162" s="168">
        <f>AC161/$AC$161</f>
        <v>1</v>
      </c>
      <c r="BW162" s="169"/>
      <c r="BX162" s="167">
        <f>SUM(BX138:BX160)</f>
        <v>1.0000000000000002</v>
      </c>
      <c r="BY162" s="167"/>
      <c r="BZ162" s="168">
        <f>SUM(BZ138:BZ160)</f>
        <v>1.0040485829959518</v>
      </c>
      <c r="CA162" s="169"/>
      <c r="CB162" s="167">
        <v>1.0000000000000002</v>
      </c>
      <c r="CC162" s="167"/>
      <c r="CD162" s="168">
        <v>1</v>
      </c>
      <c r="CE162" s="169"/>
      <c r="CF162" s="167">
        <f t="shared" ref="CF162:CH162" si="209">SUM(CF138:CF160)</f>
        <v>0.99999999999999989</v>
      </c>
      <c r="CG162" s="167"/>
      <c r="CH162" s="168">
        <f t="shared" si="209"/>
        <v>1</v>
      </c>
      <c r="CI162" s="169"/>
      <c r="CJ162" s="170"/>
      <c r="CK162" s="167">
        <f t="shared" ref="CK162:CM162" si="210">SUM(CK138:CK160)</f>
        <v>1</v>
      </c>
      <c r="CL162" s="167"/>
      <c r="CM162" s="168">
        <f t="shared" si="210"/>
        <v>1</v>
      </c>
      <c r="CN162" s="169"/>
      <c r="CO162" s="170">
        <v>285417</v>
      </c>
      <c r="CP162" s="167">
        <f>CO162/$CO$162</f>
        <v>1</v>
      </c>
      <c r="CQ162" s="220"/>
      <c r="CR162" s="220"/>
      <c r="CS162" s="220"/>
      <c r="CT162" s="220"/>
      <c r="CU162" s="220"/>
      <c r="CV162" s="220"/>
      <c r="CW162" s="220"/>
      <c r="CX162" s="220"/>
      <c r="CY162" s="220"/>
      <c r="CZ162" s="220"/>
      <c r="DA162" s="220"/>
      <c r="DB162" s="220"/>
      <c r="DC162" s="220"/>
      <c r="DD162" s="220"/>
      <c r="DE162" s="220"/>
      <c r="DF162" s="220"/>
      <c r="DG162" s="220"/>
      <c r="DH162" s="220"/>
      <c r="DI162" s="220"/>
    </row>
    <row r="163" spans="1:113" s="161" customFormat="1" x14ac:dyDescent="0.3">
      <c r="A163" s="220"/>
      <c r="B163" s="246"/>
      <c r="C163" s="220"/>
      <c r="D163" s="407" t="s">
        <v>34</v>
      </c>
      <c r="E163" s="225" t="s">
        <v>17</v>
      </c>
      <c r="F163" s="386" t="s">
        <v>98</v>
      </c>
      <c r="G163" s="272" t="s">
        <v>96</v>
      </c>
      <c r="H163" s="222" t="s">
        <v>97</v>
      </c>
      <c r="I163" s="410" t="s">
        <v>325</v>
      </c>
      <c r="J163" s="271" t="s">
        <v>182</v>
      </c>
      <c r="K163" s="269" t="s">
        <v>168</v>
      </c>
      <c r="L163" s="270" t="s">
        <v>172</v>
      </c>
      <c r="M163" s="349" t="s">
        <v>219</v>
      </c>
      <c r="N163" s="286" t="s">
        <v>154</v>
      </c>
      <c r="O163" s="204"/>
      <c r="P163" s="386"/>
      <c r="Q163" s="386"/>
      <c r="R163" s="196"/>
      <c r="S163" s="162"/>
      <c r="T163" s="162"/>
      <c r="U163" s="162"/>
      <c r="V163" s="162"/>
      <c r="W163" s="162"/>
      <c r="X163" s="162"/>
      <c r="Y163" s="147"/>
      <c r="Z163" s="162"/>
      <c r="AA163" s="162"/>
      <c r="AB163" s="163"/>
      <c r="AC163" s="353"/>
      <c r="AD163" s="164"/>
      <c r="AE163" s="163"/>
      <c r="AF163" s="155"/>
      <c r="AG163" s="155"/>
      <c r="AH163" s="155"/>
      <c r="AI163" s="155"/>
      <c r="AJ163" s="155"/>
      <c r="AK163" s="155"/>
      <c r="AL163" s="163" t="s">
        <v>19</v>
      </c>
      <c r="AM163" s="326"/>
      <c r="AN163" s="163" t="s">
        <v>18</v>
      </c>
      <c r="AO163" s="326"/>
      <c r="AP163" s="163" t="s">
        <v>19</v>
      </c>
      <c r="AQ163" s="163"/>
      <c r="AR163" s="163" t="s">
        <v>18</v>
      </c>
      <c r="AS163" s="326"/>
      <c r="AT163" s="163" t="s">
        <v>19</v>
      </c>
      <c r="AU163" s="163"/>
      <c r="AV163" s="163" t="s">
        <v>18</v>
      </c>
      <c r="AW163" s="105"/>
      <c r="AX163" s="163"/>
      <c r="AY163" s="43"/>
      <c r="AZ163" s="443" t="s">
        <v>204</v>
      </c>
      <c r="BA163" s="443"/>
      <c r="BB163" s="443"/>
      <c r="BC163" s="443"/>
      <c r="BD163" s="443"/>
      <c r="BE163" s="443"/>
      <c r="BF163" s="443"/>
      <c r="BG163" s="443"/>
      <c r="BH163" s="443" t="s">
        <v>182</v>
      </c>
      <c r="BI163" s="443"/>
      <c r="BJ163" s="443"/>
      <c r="BK163" s="443"/>
      <c r="BL163" s="443"/>
      <c r="BM163" s="443"/>
      <c r="BN163" s="443"/>
      <c r="BO163" s="443"/>
      <c r="BP163" s="443" t="s">
        <v>170</v>
      </c>
      <c r="BQ163" s="443"/>
      <c r="BR163" s="443"/>
      <c r="BS163" s="443"/>
      <c r="BT163" s="443"/>
      <c r="BU163" s="443"/>
      <c r="BV163" s="443"/>
      <c r="BW163" s="443"/>
      <c r="BX163" s="445" t="s">
        <v>119</v>
      </c>
      <c r="BY163" s="446"/>
      <c r="BZ163" s="446"/>
      <c r="CA163" s="447"/>
      <c r="CB163" s="445" t="s">
        <v>50</v>
      </c>
      <c r="CC163" s="446"/>
      <c r="CD163" s="446"/>
      <c r="CE163" s="447"/>
      <c r="CF163" s="445" t="s">
        <v>52</v>
      </c>
      <c r="CG163" s="446"/>
      <c r="CH163" s="446"/>
      <c r="CI163" s="446"/>
      <c r="CJ163" s="443" t="s">
        <v>51</v>
      </c>
      <c r="CK163" s="443"/>
      <c r="CL163" s="443"/>
      <c r="CM163" s="443"/>
      <c r="CN163" s="443"/>
      <c r="CO163" s="443" t="s">
        <v>53</v>
      </c>
      <c r="CP163" s="443"/>
      <c r="CQ163" s="220"/>
      <c r="CR163" s="220"/>
      <c r="CS163" s="220"/>
      <c r="CT163" s="220"/>
      <c r="CU163" s="220"/>
      <c r="CV163" s="220"/>
      <c r="CW163" s="220"/>
      <c r="CX163" s="220"/>
      <c r="CY163" s="220"/>
      <c r="CZ163" s="220"/>
      <c r="DA163" s="220"/>
      <c r="DB163" s="220"/>
      <c r="DC163" s="220"/>
      <c r="DD163" s="220"/>
      <c r="DE163" s="220"/>
      <c r="DF163" s="220"/>
      <c r="DG163" s="220"/>
      <c r="DH163" s="220"/>
      <c r="DI163" s="220"/>
    </row>
    <row r="164" spans="1:113" s="161" customFormat="1" x14ac:dyDescent="0.3">
      <c r="A164" s="220"/>
      <c r="B164" s="246"/>
      <c r="C164" s="220"/>
      <c r="D164" s="408">
        <v>0</v>
      </c>
      <c r="E164" s="273">
        <f t="shared" ref="E164:E185" si="211">E139</f>
        <v>44944.75</v>
      </c>
      <c r="F164" s="295">
        <f>AB138</f>
        <v>0</v>
      </c>
      <c r="G164" s="295">
        <f>AR138</f>
        <v>0</v>
      </c>
      <c r="H164" s="295">
        <f>AV138</f>
        <v>0</v>
      </c>
      <c r="I164" s="295">
        <v>0</v>
      </c>
      <c r="J164" s="295">
        <v>0</v>
      </c>
      <c r="K164" s="295">
        <v>0</v>
      </c>
      <c r="L164" s="416">
        <v>0</v>
      </c>
      <c r="M164" s="245">
        <v>0</v>
      </c>
      <c r="N164" s="295">
        <v>0</v>
      </c>
      <c r="O164" s="204"/>
      <c r="P164" s="226"/>
      <c r="Q164" s="226"/>
      <c r="R164" s="196"/>
      <c r="S164" s="162"/>
      <c r="T164" s="162"/>
      <c r="U164" s="162"/>
      <c r="V164" s="162"/>
      <c r="W164" s="162"/>
      <c r="X164" s="162"/>
      <c r="Y164" s="147"/>
      <c r="Z164" s="162"/>
      <c r="AA164" s="162"/>
      <c r="AB164" s="163"/>
      <c r="AC164" s="43"/>
      <c r="AD164" s="43"/>
      <c r="AE164" s="43"/>
      <c r="AF164" s="43"/>
      <c r="AG164" s="43"/>
      <c r="AH164" s="155"/>
      <c r="AI164" s="155"/>
      <c r="AJ164" s="155"/>
      <c r="AK164" s="155"/>
      <c r="AL164" s="163" t="s">
        <v>325</v>
      </c>
      <c r="AM164" s="326"/>
      <c r="AN164" s="163" t="s">
        <v>325</v>
      </c>
      <c r="AO164" s="326"/>
      <c r="AP164" s="163" t="s">
        <v>125</v>
      </c>
      <c r="AQ164" s="105"/>
      <c r="AR164" s="166" t="s">
        <v>125</v>
      </c>
      <c r="AS164" s="105"/>
      <c r="AT164" s="163" t="s">
        <v>126</v>
      </c>
      <c r="AU164" s="63"/>
      <c r="AV164" s="166" t="s">
        <v>126</v>
      </c>
      <c r="AW164" s="326"/>
      <c r="AX164" s="163"/>
      <c r="AY164" s="43"/>
      <c r="AZ164" s="43"/>
      <c r="BA164" s="43"/>
      <c r="BB164" s="43"/>
      <c r="BC164" s="43"/>
      <c r="BD164" s="69" t="s">
        <v>208</v>
      </c>
      <c r="BE164" s="171" t="s">
        <v>209</v>
      </c>
      <c r="BF164" s="69" t="s">
        <v>210</v>
      </c>
      <c r="BG164" s="69" t="s">
        <v>211</v>
      </c>
      <c r="BH164" s="43"/>
      <c r="BI164" s="43"/>
      <c r="BJ164" s="43"/>
      <c r="BK164" s="43"/>
      <c r="BL164" s="69" t="s">
        <v>176</v>
      </c>
      <c r="BM164" s="171" t="s">
        <v>205</v>
      </c>
      <c r="BN164" s="69" t="s">
        <v>206</v>
      </c>
      <c r="BO164" s="69" t="s">
        <v>207</v>
      </c>
      <c r="BP164" s="43"/>
      <c r="BQ164" s="43"/>
      <c r="BR164" s="43"/>
      <c r="BS164" s="43"/>
      <c r="BT164" s="69" t="s">
        <v>152</v>
      </c>
      <c r="BU164" s="171" t="s">
        <v>173</v>
      </c>
      <c r="BV164" s="69" t="s">
        <v>174</v>
      </c>
      <c r="BW164" s="69" t="s">
        <v>175</v>
      </c>
      <c r="BX164" s="69" t="s">
        <v>134</v>
      </c>
      <c r="BY164" s="171" t="s">
        <v>138</v>
      </c>
      <c r="BZ164" s="69" t="s">
        <v>135</v>
      </c>
      <c r="CA164" s="69" t="s">
        <v>139</v>
      </c>
      <c r="CB164" s="69" t="s">
        <v>82</v>
      </c>
      <c r="CC164" s="69" t="s">
        <v>140</v>
      </c>
      <c r="CD164" s="69" t="s">
        <v>131</v>
      </c>
      <c r="CE164" s="69" t="s">
        <v>141</v>
      </c>
      <c r="CF164" s="69" t="s">
        <v>132</v>
      </c>
      <c r="CG164" s="172" t="s">
        <v>142</v>
      </c>
      <c r="CH164" s="69" t="s">
        <v>133</v>
      </c>
      <c r="CI164" s="172" t="s">
        <v>143</v>
      </c>
      <c r="CJ164" s="43"/>
      <c r="CK164" s="171" t="s">
        <v>136</v>
      </c>
      <c r="CL164" s="171" t="s">
        <v>144</v>
      </c>
      <c r="CM164" s="171" t="s">
        <v>137</v>
      </c>
      <c r="CN164" s="171" t="s">
        <v>145</v>
      </c>
      <c r="CO164" s="45"/>
      <c r="CP164" s="43"/>
      <c r="CQ164" s="220"/>
      <c r="CR164" s="220"/>
      <c r="CS164" s="220"/>
      <c r="CT164" s="220"/>
      <c r="CU164" s="220"/>
      <c r="CV164" s="220"/>
      <c r="CW164" s="220"/>
      <c r="CX164" s="220"/>
      <c r="CY164" s="220"/>
      <c r="CZ164" s="220"/>
      <c r="DA164" s="220"/>
      <c r="DB164" s="220"/>
      <c r="DC164" s="220"/>
      <c r="DD164" s="220"/>
      <c r="DE164" s="220"/>
      <c r="DF164" s="220"/>
      <c r="DG164" s="220"/>
      <c r="DH164" s="220"/>
      <c r="DI164" s="220"/>
    </row>
    <row r="165" spans="1:113" s="161" customFormat="1" x14ac:dyDescent="0.3">
      <c r="A165" s="220"/>
      <c r="B165" s="246"/>
      <c r="C165" s="220"/>
      <c r="D165" s="408">
        <v>1</v>
      </c>
      <c r="E165" s="273">
        <f t="shared" si="211"/>
        <v>44945.75</v>
      </c>
      <c r="F165" s="295">
        <f t="shared" ref="F165:F185" si="212">AB140</f>
        <v>136</v>
      </c>
      <c r="G165" s="295">
        <f t="shared" ref="G165:G185" si="213">AR140</f>
        <v>136</v>
      </c>
      <c r="H165" s="295">
        <f t="shared" ref="H165:H185" si="214">AV140</f>
        <v>136</v>
      </c>
      <c r="I165" s="416">
        <v>195</v>
      </c>
      <c r="J165" s="416">
        <f t="shared" ref="J165:J185" si="215">BI139</f>
        <v>291</v>
      </c>
      <c r="K165" s="416">
        <v>500</v>
      </c>
      <c r="L165" s="416">
        <v>625</v>
      </c>
      <c r="M165" s="417">
        <v>317</v>
      </c>
      <c r="N165" s="416">
        <v>179</v>
      </c>
      <c r="O165" s="204"/>
      <c r="P165" s="385"/>
      <c r="Q165" s="385"/>
      <c r="R165" s="196"/>
      <c r="S165" s="162"/>
      <c r="T165" s="162"/>
      <c r="U165" s="162"/>
      <c r="V165" s="162"/>
      <c r="W165" s="162"/>
      <c r="X165" s="162"/>
      <c r="Y165" s="147"/>
      <c r="Z165" s="164"/>
      <c r="AA165" s="183" t="s">
        <v>123</v>
      </c>
      <c r="AB165" s="43"/>
      <c r="AC165" s="43"/>
      <c r="AD165" s="43"/>
      <c r="AE165" s="43"/>
      <c r="AF165" s="43"/>
      <c r="AG165" s="43"/>
      <c r="AH165" s="43"/>
      <c r="AI165" s="43"/>
      <c r="AJ165" s="43"/>
      <c r="AK165" s="289" t="s">
        <v>123</v>
      </c>
      <c r="AL165" s="132">
        <f>AA140*Vergleich!AX9</f>
        <v>90939.297291357623</v>
      </c>
      <c r="AM165" s="289"/>
      <c r="AN165" s="424">
        <f>ROUND(AB140*Vergleich!AY9,)</f>
        <v>458</v>
      </c>
      <c r="AO165" s="289"/>
      <c r="AP165" s="132">
        <f>AP140*Vergleich!BI8</f>
        <v>71235.296149774338</v>
      </c>
      <c r="AQ165" s="289" t="s">
        <v>123</v>
      </c>
      <c r="AR165" s="424">
        <f>ROUND(AB140*Vergleich!BJ8,)</f>
        <v>362</v>
      </c>
      <c r="AS165" s="289"/>
      <c r="AT165" s="132">
        <f>AT140*Vergleich!BI9</f>
        <v>125380.66316322348</v>
      </c>
      <c r="AU165" s="132"/>
      <c r="AV165" s="424">
        <f>ROUND(AB140*Vergleich!BJ9,)</f>
        <v>660</v>
      </c>
      <c r="AW165" s="59"/>
      <c r="AX165" s="163"/>
      <c r="AY165" s="43">
        <v>3</v>
      </c>
      <c r="AZ165" s="43"/>
      <c r="BA165" s="43"/>
      <c r="BB165" s="43"/>
      <c r="BC165" s="43"/>
      <c r="BD165" s="83">
        <f t="shared" ref="BD165:BD183" si="216">BD142/SUM(BD$143:BD$160)</f>
        <v>7.4475767970906076E-2</v>
      </c>
      <c r="BE165" s="177">
        <f>BD165</f>
        <v>7.4475767970906076E-2</v>
      </c>
      <c r="BF165" s="83">
        <f t="shared" ref="BF165:BF183" si="217">BF142/SUM(BF$143:BF$160)</f>
        <v>6.0538116591928245E-2</v>
      </c>
      <c r="BG165" s="177">
        <f>BF165</f>
        <v>6.0538116591928245E-2</v>
      </c>
      <c r="BH165" s="43"/>
      <c r="BI165" s="43"/>
      <c r="BJ165" s="43"/>
      <c r="BK165" s="43"/>
      <c r="BL165" s="83">
        <f t="shared" ref="BL165:BL183" si="218">BL142/SUM(BL$143:BL$160)</f>
        <v>6.8660179722644835E-2</v>
      </c>
      <c r="BM165" s="177">
        <f>BL165</f>
        <v>6.8660179722644835E-2</v>
      </c>
      <c r="BN165" s="83">
        <f t="shared" ref="BN165:BN183" si="219">BN142/SUM(BN$143:BN$160)</f>
        <v>6.4625850340136071E-2</v>
      </c>
      <c r="BO165" s="177">
        <f>BN165</f>
        <v>6.4625850340136071E-2</v>
      </c>
      <c r="BP165" s="43"/>
      <c r="BQ165" s="43"/>
      <c r="BR165" s="43"/>
      <c r="BS165" s="427" t="s">
        <v>355</v>
      </c>
      <c r="BT165" s="414">
        <f>BT142/SUM(BT$142:BT$160)</f>
        <v>6.8027319567040792E-2</v>
      </c>
      <c r="BU165" s="177">
        <f>BT165</f>
        <v>6.8027319567040792E-2</v>
      </c>
      <c r="BV165" s="414">
        <f>BV142/SUM(BV$142:BV$160)</f>
        <v>7.1999999999999995E-2</v>
      </c>
      <c r="BW165" s="177">
        <f>BV165</f>
        <v>7.1999999999999995E-2</v>
      </c>
      <c r="BX165" s="83"/>
      <c r="BY165" s="175"/>
      <c r="BZ165" s="83"/>
      <c r="CA165" s="83"/>
      <c r="CB165" s="414">
        <f>CB142/SUM(CB$142:CB$160)</f>
        <v>3.2398800228055823E-2</v>
      </c>
      <c r="CC165" s="83"/>
      <c r="CD165" s="414">
        <f>CD142/SUM(CD$142:CD$160)</f>
        <v>3.5629453681710214E-2</v>
      </c>
      <c r="CE165" s="83"/>
      <c r="CF165" s="414">
        <f>CF142/SUM(CF$142:CF$160)</f>
        <v>3.6184400796569136E-2</v>
      </c>
      <c r="CG165" s="176">
        <f>CF165</f>
        <v>3.6184400796569136E-2</v>
      </c>
      <c r="CH165" s="414">
        <f>CH142/SUM(CH$142:CH$160)</f>
        <v>3.272727272727273E-2</v>
      </c>
      <c r="CI165" s="176">
        <f>CH165</f>
        <v>3.272727272727273E-2</v>
      </c>
      <c r="CJ165" s="43"/>
      <c r="CK165" s="175"/>
      <c r="CL165" s="175"/>
      <c r="CM165" s="175"/>
      <c r="CN165" s="175"/>
      <c r="CO165" s="177"/>
      <c r="CP165" s="177"/>
      <c r="CQ165" s="220"/>
      <c r="CR165" s="220"/>
      <c r="CS165" s="220"/>
      <c r="CT165" s="220"/>
      <c r="CU165" s="220"/>
      <c r="CV165" s="220"/>
      <c r="CW165" s="220"/>
      <c r="CX165" s="220"/>
      <c r="CY165" s="220"/>
      <c r="CZ165" s="220"/>
      <c r="DA165" s="220"/>
      <c r="DB165" s="220"/>
      <c r="DC165" s="220"/>
      <c r="DD165" s="220"/>
      <c r="DE165" s="220"/>
      <c r="DF165" s="220"/>
      <c r="DG165" s="220"/>
      <c r="DH165" s="220"/>
      <c r="DI165" s="220"/>
    </row>
    <row r="166" spans="1:113" s="161" customFormat="1" x14ac:dyDescent="0.3">
      <c r="A166" s="220"/>
      <c r="B166" s="246"/>
      <c r="C166" s="220"/>
      <c r="D166" s="408">
        <v>2</v>
      </c>
      <c r="E166" s="273">
        <f t="shared" si="211"/>
        <v>44946.75</v>
      </c>
      <c r="F166" s="295">
        <f t="shared" si="212"/>
        <v>172</v>
      </c>
      <c r="G166" s="295">
        <f t="shared" si="213"/>
        <v>172</v>
      </c>
      <c r="H166" s="295">
        <f t="shared" si="214"/>
        <v>172</v>
      </c>
      <c r="I166" s="416">
        <v>233</v>
      </c>
      <c r="J166" s="416">
        <f t="shared" si="215"/>
        <v>341</v>
      </c>
      <c r="K166" s="416"/>
      <c r="L166" s="416">
        <v>789</v>
      </c>
      <c r="M166" s="417">
        <v>417</v>
      </c>
      <c r="N166" s="416">
        <v>206</v>
      </c>
      <c r="O166" s="204"/>
      <c r="P166" s="385"/>
      <c r="Q166" s="385"/>
      <c r="R166" s="196"/>
      <c r="S166" s="162"/>
      <c r="T166" s="162"/>
      <c r="U166" s="162"/>
      <c r="V166" s="162"/>
      <c r="W166" s="162"/>
      <c r="X166" s="162"/>
      <c r="Y166" s="147"/>
      <c r="Z166" s="43"/>
      <c r="AA166" s="43" t="s">
        <v>124</v>
      </c>
      <c r="AB166" s="43"/>
      <c r="AC166" s="43"/>
      <c r="AD166" s="43"/>
      <c r="AE166" s="43"/>
      <c r="AF166" s="43"/>
      <c r="AG166" s="43"/>
      <c r="AH166" s="43"/>
      <c r="AI166" s="43"/>
      <c r="AJ166" s="43"/>
      <c r="AK166" s="289" t="s">
        <v>124</v>
      </c>
      <c r="AL166" s="132">
        <f>AA141*Vergleich!AX14</f>
        <v>94125.626198457539</v>
      </c>
      <c r="AM166" s="289"/>
      <c r="AN166" s="424">
        <f>ROUND(AB141*Vergleich!AY14,)</f>
        <v>484</v>
      </c>
      <c r="AO166" s="289"/>
      <c r="AP166" s="132">
        <f>AP141*Vergleich!BI13</f>
        <v>68011.527836986745</v>
      </c>
      <c r="AQ166" s="289" t="s">
        <v>124</v>
      </c>
      <c r="AR166" s="424">
        <f>ROUND(AB141*Vergleich!BJ13,)</f>
        <v>363</v>
      </c>
      <c r="AS166" s="289"/>
      <c r="AT166" s="132">
        <f>AT141*Vergleich!BI14</f>
        <v>130984.49231791378</v>
      </c>
      <c r="AU166" s="132"/>
      <c r="AV166" s="424">
        <f>ROUND(AB141*Vergleich!BJ14,)</f>
        <v>728</v>
      </c>
      <c r="AW166" s="59"/>
      <c r="AX166" s="163"/>
      <c r="AY166" s="43">
        <v>4</v>
      </c>
      <c r="AZ166" s="43"/>
      <c r="BA166" s="43"/>
      <c r="BB166" s="43"/>
      <c r="BC166" s="43"/>
      <c r="BD166" s="83">
        <f t="shared" si="216"/>
        <v>4.3924582806736986E-2</v>
      </c>
      <c r="BE166" s="177">
        <f>BD166</f>
        <v>4.3924582806736986E-2</v>
      </c>
      <c r="BF166" s="83">
        <f t="shared" si="217"/>
        <v>4.2600896860986545E-2</v>
      </c>
      <c r="BG166" s="177">
        <f>BF166</f>
        <v>4.2600896860986545E-2</v>
      </c>
      <c r="BH166" s="43"/>
      <c r="BI166" s="43"/>
      <c r="BJ166" s="43"/>
      <c r="BK166" s="43"/>
      <c r="BL166" s="83">
        <f t="shared" si="218"/>
        <v>3.1694084768086279E-2</v>
      </c>
      <c r="BM166" s="177">
        <f>BL166</f>
        <v>3.1694084768086279E-2</v>
      </c>
      <c r="BN166" s="83">
        <f t="shared" si="219"/>
        <v>3.4013605442176874E-2</v>
      </c>
      <c r="BO166" s="177">
        <f>BN166</f>
        <v>3.4013605442176874E-2</v>
      </c>
      <c r="BP166" s="43"/>
      <c r="BQ166" s="43"/>
      <c r="BR166" s="43"/>
      <c r="BS166" s="43"/>
      <c r="BT166" s="83">
        <f t="shared" ref="BT166:BT183" si="220">BT143/SUM(BT$143:BT$160)</f>
        <v>4.3584842588862506E-2</v>
      </c>
      <c r="BU166" s="177">
        <f>BT166</f>
        <v>4.3584842588862506E-2</v>
      </c>
      <c r="BV166" s="83">
        <f t="shared" ref="BV166:BV183" si="221">BV143/SUM(BV$143:BV$160)</f>
        <v>4.8029556650246309E-2</v>
      </c>
      <c r="BW166" s="177">
        <f>BV166</f>
        <v>4.8029556650246309E-2</v>
      </c>
      <c r="BX166" s="83"/>
      <c r="BY166" s="175"/>
      <c r="BZ166" s="83"/>
      <c r="CA166" s="83"/>
      <c r="CB166" s="83">
        <f t="shared" ref="CB166:CB183" si="222">CB143/SUM(CB$143:CB$160)</f>
        <v>3.4380283855100682E-2</v>
      </c>
      <c r="CC166" s="83"/>
      <c r="CD166" s="83">
        <f t="shared" ref="CD166:CD183" si="223">CD143/SUM(CD$143:CD$160)</f>
        <v>3.9408866995073892E-2</v>
      </c>
      <c r="CE166" s="83"/>
      <c r="CF166" s="83">
        <f t="shared" ref="CF166:CF183" si="224">CF143/SUM(CF$143:CF$160)</f>
        <v>5.1971879286694098E-2</v>
      </c>
      <c r="CG166" s="176">
        <f>CF166</f>
        <v>5.1971879286694098E-2</v>
      </c>
      <c r="CH166" s="83">
        <f t="shared" ref="CH166:CH183" si="225">CH143/SUM(CH$143:CH$160)</f>
        <v>4.3233082706766915E-2</v>
      </c>
      <c r="CI166" s="176">
        <f>CH166</f>
        <v>4.3233082706766915E-2</v>
      </c>
      <c r="CJ166" s="43"/>
      <c r="CK166" s="175"/>
      <c r="CL166" s="175"/>
      <c r="CM166" s="175"/>
      <c r="CN166" s="175"/>
      <c r="CO166" s="177"/>
      <c r="CP166" s="177"/>
      <c r="CQ166" s="220"/>
      <c r="CR166" s="220"/>
      <c r="CS166" s="220"/>
      <c r="CT166" s="220"/>
      <c r="CU166" s="220"/>
      <c r="CV166" s="220"/>
      <c r="CW166" s="220"/>
      <c r="CX166" s="220"/>
      <c r="CY166" s="220"/>
      <c r="CZ166" s="220"/>
      <c r="DA166" s="220"/>
      <c r="DB166" s="220"/>
      <c r="DC166" s="220"/>
      <c r="DD166" s="220"/>
      <c r="DE166" s="220"/>
      <c r="DF166" s="220"/>
      <c r="DG166" s="220"/>
      <c r="DH166" s="220"/>
      <c r="DI166" s="220"/>
    </row>
    <row r="167" spans="1:113" s="140" customFormat="1" x14ac:dyDescent="0.3">
      <c r="A167" s="226"/>
      <c r="B167" s="420"/>
      <c r="C167" s="226"/>
      <c r="D167" s="408">
        <v>3</v>
      </c>
      <c r="E167" s="273">
        <f t="shared" si="211"/>
        <v>44947.75</v>
      </c>
      <c r="F167" s="295">
        <f t="shared" si="212"/>
        <v>199</v>
      </c>
      <c r="G167" s="295">
        <f t="shared" si="213"/>
        <v>199</v>
      </c>
      <c r="H167" s="295">
        <f t="shared" si="214"/>
        <v>199</v>
      </c>
      <c r="I167" s="416">
        <v>248</v>
      </c>
      <c r="J167" s="416">
        <f t="shared" si="215"/>
        <v>404</v>
      </c>
      <c r="K167" s="416"/>
      <c r="L167" s="416">
        <v>852</v>
      </c>
      <c r="M167" s="417">
        <v>458</v>
      </c>
      <c r="N167" s="416">
        <v>224</v>
      </c>
      <c r="O167" s="226"/>
      <c r="P167" s="385"/>
      <c r="Q167" s="385"/>
      <c r="R167" s="421"/>
      <c r="S167" s="289"/>
      <c r="T167" s="289"/>
      <c r="U167" s="289"/>
      <c r="V167" s="289"/>
      <c r="W167" s="289"/>
      <c r="X167" s="289"/>
      <c r="Y167" s="89"/>
      <c r="Z167" s="289"/>
      <c r="AA167" s="289" t="s">
        <v>146</v>
      </c>
      <c r="AB167" s="289"/>
      <c r="AC167" s="289"/>
      <c r="AD167" s="289"/>
      <c r="AE167" s="290"/>
      <c r="AF167" s="289"/>
      <c r="AG167" s="289"/>
      <c r="AH167" s="289"/>
      <c r="AI167" s="289"/>
      <c r="AJ167" s="289"/>
      <c r="AK167" s="289" t="s">
        <v>146</v>
      </c>
      <c r="AL167" s="132">
        <f>AA142*Vergleich!AX19</f>
        <v>104491.48030835156</v>
      </c>
      <c r="AM167" s="289"/>
      <c r="AN167" s="424">
        <f>ROUND(AB142*Vergleich!AY19,)</f>
        <v>526</v>
      </c>
      <c r="AO167" s="289"/>
      <c r="AP167" s="132">
        <f>AP142*Vergleich!BI18</f>
        <v>74558.467731535507</v>
      </c>
      <c r="AQ167" s="289" t="s">
        <v>146</v>
      </c>
      <c r="AR167" s="424">
        <f>ROUND(AB142*Vergleich!BJ18,)</f>
        <v>389</v>
      </c>
      <c r="AS167" s="289"/>
      <c r="AT167" s="132">
        <f>AT142*Vergleich!BI19</f>
        <v>134718.67686997849</v>
      </c>
      <c r="AU167" s="132"/>
      <c r="AV167" s="424">
        <f>ROUND(AB142*Vergleich!BJ19,)</f>
        <v>767</v>
      </c>
      <c r="AW167" s="59"/>
      <c r="AX167" s="422"/>
      <c r="AY167" s="43">
        <v>5</v>
      </c>
      <c r="AZ167" s="43"/>
      <c r="BA167" s="43"/>
      <c r="BB167" s="43"/>
      <c r="BC167" s="43"/>
      <c r="BD167" s="83">
        <f t="shared" si="216"/>
        <v>3.5606510020376049E-2</v>
      </c>
      <c r="BE167" s="177">
        <f t="shared" ref="BE167:BE183" si="226">BE166+BD167</f>
        <v>7.9531092827113042E-2</v>
      </c>
      <c r="BF167" s="83">
        <f t="shared" si="217"/>
        <v>3.8116591928251113E-2</v>
      </c>
      <c r="BG167" s="177">
        <f t="shared" ref="BG167:BG183" si="227">BG166+BF167</f>
        <v>8.0717488789237651E-2</v>
      </c>
      <c r="BH167" s="43"/>
      <c r="BI167" s="43"/>
      <c r="BJ167" s="43"/>
      <c r="BK167" s="43"/>
      <c r="BL167" s="83">
        <f t="shared" si="218"/>
        <v>2.9800539240903503E-2</v>
      </c>
      <c r="BM167" s="177">
        <f t="shared" ref="BM167:BM183" si="228">BM166+BL167</f>
        <v>6.1494624008989779E-2</v>
      </c>
      <c r="BN167" s="83">
        <f t="shared" si="219"/>
        <v>3.7414965986394565E-2</v>
      </c>
      <c r="BO167" s="177">
        <f t="shared" ref="BO167:BO183" si="229">BO166+BN167</f>
        <v>7.1428571428571438E-2</v>
      </c>
      <c r="BP167" s="43"/>
      <c r="BQ167" s="43"/>
      <c r="BR167" s="43"/>
      <c r="BS167" s="43"/>
      <c r="BT167" s="83">
        <f t="shared" si="220"/>
        <v>3.1456513726868321E-2</v>
      </c>
      <c r="BU167" s="177">
        <f t="shared" ref="BU167:BU168" si="230">BU166+BT167</f>
        <v>7.5041356315730834E-2</v>
      </c>
      <c r="BV167" s="83">
        <f t="shared" si="221"/>
        <v>3.3251231527093604E-2</v>
      </c>
      <c r="BW167" s="177">
        <f t="shared" ref="BW167:BW168" si="231">BW166+BV167</f>
        <v>8.1280788177339913E-2</v>
      </c>
      <c r="BX167" s="83"/>
      <c r="BY167" s="175"/>
      <c r="BZ167" s="83"/>
      <c r="CA167" s="83"/>
      <c r="CB167" s="83">
        <f t="shared" si="222"/>
        <v>3.5943024030332532E-2</v>
      </c>
      <c r="CC167" s="83"/>
      <c r="CD167" s="83">
        <f t="shared" si="223"/>
        <v>3.9408866995073892E-2</v>
      </c>
      <c r="CE167" s="83"/>
      <c r="CF167" s="83">
        <f t="shared" si="224"/>
        <v>2.7023319615912211E-2</v>
      </c>
      <c r="CG167" s="176">
        <f t="shared" ref="CG167:CG168" si="232">CG166+CF167</f>
        <v>7.8995198902606312E-2</v>
      </c>
      <c r="CH167" s="83">
        <f t="shared" si="225"/>
        <v>3.1954887218045111E-2</v>
      </c>
      <c r="CI167" s="176">
        <f t="shared" ref="CI167:CI168" si="233">CI166+CH167</f>
        <v>7.5187969924812026E-2</v>
      </c>
      <c r="CJ167" s="43"/>
      <c r="CK167" s="175"/>
      <c r="CL167" s="175"/>
      <c r="CM167" s="175"/>
      <c r="CN167" s="175"/>
      <c r="CO167" s="177"/>
      <c r="CP167" s="177"/>
      <c r="CQ167" s="226"/>
      <c r="CR167" s="226"/>
      <c r="CS167" s="226"/>
      <c r="CT167" s="226"/>
      <c r="CU167" s="226"/>
      <c r="CV167" s="226"/>
      <c r="CW167" s="226"/>
      <c r="CX167" s="226"/>
      <c r="CY167" s="226"/>
      <c r="CZ167" s="226"/>
      <c r="DA167" s="226"/>
      <c r="DB167" s="226"/>
      <c r="DC167" s="226"/>
      <c r="DD167" s="226"/>
      <c r="DE167" s="226"/>
      <c r="DF167" s="226"/>
      <c r="DG167" s="226"/>
      <c r="DH167" s="226"/>
      <c r="DI167" s="226"/>
    </row>
    <row r="168" spans="1:113" s="140" customFormat="1" x14ac:dyDescent="0.3">
      <c r="A168" s="226"/>
      <c r="B168" s="420"/>
      <c r="C168" s="226"/>
      <c r="D168" s="408">
        <v>4</v>
      </c>
      <c r="E168" s="273">
        <f t="shared" si="211"/>
        <v>44948.75</v>
      </c>
      <c r="F168" s="295">
        <f t="shared" si="212"/>
        <v>218</v>
      </c>
      <c r="G168" s="295">
        <f t="shared" si="213"/>
        <v>206</v>
      </c>
      <c r="H168" s="295">
        <f t="shared" si="214"/>
        <v>226</v>
      </c>
      <c r="I168" s="416">
        <v>264</v>
      </c>
      <c r="J168" s="416">
        <f t="shared" si="215"/>
        <v>480</v>
      </c>
      <c r="K168" s="416"/>
      <c r="L168" s="416">
        <v>891</v>
      </c>
      <c r="M168" s="417">
        <v>486</v>
      </c>
      <c r="N168" s="416">
        <v>247</v>
      </c>
      <c r="O168" s="226"/>
      <c r="P168" s="385"/>
      <c r="Q168" s="385"/>
      <c r="R168" s="421"/>
      <c r="S168" s="289"/>
      <c r="T168" s="289"/>
      <c r="U168" s="289"/>
      <c r="V168" s="289"/>
      <c r="W168" s="289"/>
      <c r="X168" s="289"/>
      <c r="Y168" s="89"/>
      <c r="Z168" s="289"/>
      <c r="AA168" s="289" t="s">
        <v>147</v>
      </c>
      <c r="AB168" s="142">
        <f>ROUND(AVERAGE(AR170,AV170),)</f>
        <v>565</v>
      </c>
      <c r="AC168" s="289"/>
      <c r="AD168" s="289"/>
      <c r="AE168" s="290"/>
      <c r="AF168" s="289"/>
      <c r="AG168" s="289"/>
      <c r="AH168" s="289"/>
      <c r="AI168" s="289"/>
      <c r="AJ168" s="289"/>
      <c r="AK168" s="289" t="s">
        <v>158</v>
      </c>
      <c r="AL168" s="132">
        <f>AA143*Vergleich!AX24</f>
        <v>107440.77394332422</v>
      </c>
      <c r="AM168" s="289"/>
      <c r="AN168" s="424">
        <f>ROUND(AB143*Vergleich!AY24,)</f>
        <v>542</v>
      </c>
      <c r="AO168" s="289"/>
      <c r="AP168" s="132">
        <f>AP143*Vergleich!BI23</f>
        <v>74492.409144520294</v>
      </c>
      <c r="AQ168" s="289" t="s">
        <v>158</v>
      </c>
      <c r="AR168" s="424">
        <f>ROUND(AB143*Vergleich!BJ23,)</f>
        <v>407</v>
      </c>
      <c r="AS168" s="289"/>
      <c r="AT168" s="132">
        <f>AT143*Vergleich!BI24</f>
        <v>139998.5309494797</v>
      </c>
      <c r="AU168" s="132"/>
      <c r="AV168" s="424">
        <f>ROUND(AB143*Vergleich!BJ24,)</f>
        <v>796</v>
      </c>
      <c r="AW168" s="289"/>
      <c r="AX168" s="422"/>
      <c r="AY168" s="289">
        <v>6</v>
      </c>
      <c r="AZ168" s="289"/>
      <c r="BA168" s="289"/>
      <c r="BB168" s="289"/>
      <c r="BC168" s="289"/>
      <c r="BD168" s="177">
        <f t="shared" si="216"/>
        <v>1.5475484253694769E-2</v>
      </c>
      <c r="BE168" s="177">
        <f t="shared" si="226"/>
        <v>9.5006577080807814E-2</v>
      </c>
      <c r="BF168" s="177">
        <f t="shared" si="217"/>
        <v>1.3452914798206277E-2</v>
      </c>
      <c r="BG168" s="177">
        <f t="shared" si="227"/>
        <v>9.4170403587443927E-2</v>
      </c>
      <c r="BH168" s="289"/>
      <c r="BI168" s="289"/>
      <c r="BJ168" s="289"/>
      <c r="BK168" s="289"/>
      <c r="BL168" s="177">
        <f t="shared" si="218"/>
        <v>6.9156368916665753E-2</v>
      </c>
      <c r="BM168" s="177">
        <f t="shared" si="228"/>
        <v>0.13065099292565552</v>
      </c>
      <c r="BN168" s="177">
        <f t="shared" si="219"/>
        <v>7.4829931972789129E-2</v>
      </c>
      <c r="BO168" s="177">
        <f t="shared" si="229"/>
        <v>0.14625850340136057</v>
      </c>
      <c r="BP168" s="289"/>
      <c r="BQ168" s="289"/>
      <c r="BR168" s="289"/>
      <c r="BS168" s="289"/>
      <c r="BT168" s="177">
        <f t="shared" si="220"/>
        <v>3.7019259614807704E-2</v>
      </c>
      <c r="BU168" s="177">
        <f t="shared" si="230"/>
        <v>0.11206061593053854</v>
      </c>
      <c r="BV168" s="177">
        <f t="shared" si="221"/>
        <v>4.3103448275862079E-2</v>
      </c>
      <c r="BW168" s="177">
        <f t="shared" si="231"/>
        <v>0.12438423645320199</v>
      </c>
      <c r="BX168" s="177"/>
      <c r="BY168" s="177"/>
      <c r="BZ168" s="177"/>
      <c r="CA168" s="177"/>
      <c r="CB168" s="177">
        <f t="shared" si="222"/>
        <v>3.9273453911974177E-2</v>
      </c>
      <c r="CC168" s="177"/>
      <c r="CD168" s="177">
        <f t="shared" si="223"/>
        <v>3.4482758620689655E-2</v>
      </c>
      <c r="CE168" s="177"/>
      <c r="CF168" s="177">
        <f t="shared" si="224"/>
        <v>1.7429698216735255E-2</v>
      </c>
      <c r="CG168" s="177">
        <f t="shared" si="232"/>
        <v>9.6424897119341574E-2</v>
      </c>
      <c r="CH168" s="177">
        <f t="shared" si="225"/>
        <v>1.8796992481203006E-2</v>
      </c>
      <c r="CI168" s="177">
        <f t="shared" si="233"/>
        <v>9.3984962406015032E-2</v>
      </c>
      <c r="CJ168" s="289"/>
      <c r="CK168" s="177"/>
      <c r="CL168" s="177"/>
      <c r="CM168" s="177"/>
      <c r="CN168" s="177"/>
      <c r="CO168" s="429"/>
      <c r="CP168" s="177">
        <f t="shared" ref="CP168:CP182" si="234">CP145/SUM($BX$142:$BX$160)</f>
        <v>0</v>
      </c>
      <c r="CQ168" s="226"/>
      <c r="CR168" s="226"/>
      <c r="CS168" s="226"/>
      <c r="CT168" s="226"/>
      <c r="CU168" s="226"/>
      <c r="CV168" s="226"/>
      <c r="CW168" s="226"/>
      <c r="CX168" s="226"/>
      <c r="CY168" s="226"/>
      <c r="CZ168" s="226"/>
      <c r="DA168" s="226"/>
      <c r="DB168" s="226"/>
      <c r="DC168" s="226"/>
      <c r="DD168" s="226"/>
      <c r="DE168" s="226"/>
      <c r="DF168" s="226"/>
      <c r="DG168" s="226"/>
      <c r="DH168" s="226"/>
      <c r="DI168" s="226"/>
    </row>
    <row r="169" spans="1:113" s="140" customFormat="1" x14ac:dyDescent="0.3">
      <c r="A169" s="226"/>
      <c r="B169" s="420"/>
      <c r="C169" s="226"/>
      <c r="D169" s="408">
        <v>5</v>
      </c>
      <c r="E169" s="273">
        <f t="shared" si="211"/>
        <v>44949.75</v>
      </c>
      <c r="F169" s="295">
        <f t="shared" si="212"/>
        <v>235</v>
      </c>
      <c r="G169" s="295">
        <f t="shared" si="213"/>
        <v>211</v>
      </c>
      <c r="H169" s="295">
        <f t="shared" si="214"/>
        <v>245</v>
      </c>
      <c r="I169" s="416">
        <v>280</v>
      </c>
      <c r="J169" s="416">
        <f t="shared" si="215"/>
        <v>520</v>
      </c>
      <c r="K169" s="416"/>
      <c r="L169" s="416">
        <v>918</v>
      </c>
      <c r="M169" s="417">
        <v>497</v>
      </c>
      <c r="N169" s="416">
        <v>264</v>
      </c>
      <c r="O169" s="226"/>
      <c r="P169" s="385"/>
      <c r="Q169" s="385"/>
      <c r="R169" s="421"/>
      <c r="S169" s="289"/>
      <c r="T169" s="289"/>
      <c r="U169" s="289"/>
      <c r="V169" s="289"/>
      <c r="W169" s="289"/>
      <c r="X169" s="289"/>
      <c r="Y169" s="89"/>
      <c r="Z169" s="289"/>
      <c r="AA169" s="289"/>
      <c r="AB169" s="430"/>
      <c r="AC169" s="430"/>
      <c r="AD169" s="430"/>
      <c r="AE169" s="430"/>
      <c r="AF169" s="289"/>
      <c r="AG169" s="289"/>
      <c r="AH169" s="289"/>
      <c r="AI169" s="289"/>
      <c r="AJ169" s="289"/>
      <c r="AK169" s="289" t="s">
        <v>159</v>
      </c>
      <c r="AL169" s="132">
        <f>AA144*Vergleich!AX29</f>
        <v>108239.0076236629</v>
      </c>
      <c r="AM169" s="289"/>
      <c r="AN169" s="424">
        <f>ROUND(AB144*Vergleich!AY9,)</f>
        <v>791</v>
      </c>
      <c r="AO169" s="289"/>
      <c r="AP169" s="132">
        <f>AP144*Vergleich!BI28</f>
        <v>73878.139949438657</v>
      </c>
      <c r="AQ169" s="289" t="s">
        <v>159</v>
      </c>
      <c r="AR169" s="424">
        <f>ROUND(AB144*Vergleich!BJ28,)</f>
        <v>426</v>
      </c>
      <c r="AS169" s="289"/>
      <c r="AT169" s="132">
        <f>AT144*Vergleich!BI29</f>
        <v>133973.49608334532</v>
      </c>
      <c r="AU169" s="132"/>
      <c r="AV169" s="424">
        <f>ROUND(AB144*Vergleich!BJ29,)</f>
        <v>735</v>
      </c>
      <c r="AW169" s="289"/>
      <c r="AX169" s="422"/>
      <c r="AY169" s="289">
        <v>7</v>
      </c>
      <c r="AZ169" s="289"/>
      <c r="BA169" s="289"/>
      <c r="BB169" s="289"/>
      <c r="BC169" s="289"/>
      <c r="BD169" s="177">
        <f t="shared" si="216"/>
        <v>5.7530112713110308E-2</v>
      </c>
      <c r="BE169" s="177">
        <f t="shared" si="226"/>
        <v>0.15253668979391813</v>
      </c>
      <c r="BF169" s="177">
        <f t="shared" si="217"/>
        <v>4.708520179372197E-2</v>
      </c>
      <c r="BG169" s="177">
        <f t="shared" si="227"/>
        <v>0.14125560538116588</v>
      </c>
      <c r="BH169" s="289"/>
      <c r="BI169" s="289"/>
      <c r="BJ169" s="289"/>
      <c r="BK169" s="289"/>
      <c r="BL169" s="177">
        <f t="shared" si="218"/>
        <v>4.937812170499363E-2</v>
      </c>
      <c r="BM169" s="177">
        <f t="shared" si="228"/>
        <v>0.18002911463064913</v>
      </c>
      <c r="BN169" s="177">
        <f t="shared" si="219"/>
        <v>4.8469387755102046E-2</v>
      </c>
      <c r="BO169" s="177">
        <f t="shared" si="229"/>
        <v>0.19472789115646261</v>
      </c>
      <c r="BP169" s="289"/>
      <c r="BQ169" s="289"/>
      <c r="BR169" s="289"/>
      <c r="BS169" s="289"/>
      <c r="BT169" s="177">
        <f t="shared" si="220"/>
        <v>0.1003179936401272</v>
      </c>
      <c r="BU169" s="177">
        <f t="shared" ref="BU169:BU183" si="235">BU168+BT169</f>
        <v>0.21237860957066573</v>
      </c>
      <c r="BV169" s="177">
        <f t="shared" si="221"/>
        <v>0.1120689655172414</v>
      </c>
      <c r="BW169" s="177">
        <f t="shared" ref="BW169:BW183" si="236">BW168+BV169</f>
        <v>0.23645320197044339</v>
      </c>
      <c r="BX169" s="177">
        <f t="shared" ref="BX169:BX183" si="237">BX146/SUM(BX$146:BX$160)</f>
        <v>5.2208682406702213E-2</v>
      </c>
      <c r="BY169" s="177">
        <f t="shared" ref="BY169:CI183" si="238">BY168+BX169</f>
        <v>5.2208682406702213E-2</v>
      </c>
      <c r="BZ169" s="177">
        <f t="shared" ref="BZ169:BZ183" si="239">BZ146/SUM(BZ$146:BZ$160)</f>
        <v>5.7971014492753631E-2</v>
      </c>
      <c r="CA169" s="177">
        <f t="shared" si="238"/>
        <v>5.7971014492753631E-2</v>
      </c>
      <c r="CB169" s="177">
        <f t="shared" si="222"/>
        <v>2.7565711943433935E-2</v>
      </c>
      <c r="CC169" s="177">
        <f t="shared" si="238"/>
        <v>2.7565711943433935E-2</v>
      </c>
      <c r="CD169" s="177">
        <f t="shared" si="223"/>
        <v>3.4482758620689655E-2</v>
      </c>
      <c r="CE169" s="177">
        <f t="shared" si="238"/>
        <v>3.4482758620689655E-2</v>
      </c>
      <c r="CF169" s="177">
        <f t="shared" si="224"/>
        <v>3.8365912208504799E-2</v>
      </c>
      <c r="CG169" s="177">
        <f t="shared" si="238"/>
        <v>0.13479080932784637</v>
      </c>
      <c r="CH169" s="177">
        <f t="shared" si="225"/>
        <v>3.9473684210526314E-2</v>
      </c>
      <c r="CI169" s="177">
        <f t="shared" si="238"/>
        <v>0.13345864661654133</v>
      </c>
      <c r="CJ169" s="289"/>
      <c r="CK169" s="177">
        <f t="shared" ref="CK169:CK183" si="240">CK146/SUM(CK$146:CK$160)</f>
        <v>4.0453562628852975E-2</v>
      </c>
      <c r="CL169" s="177">
        <f t="shared" ref="CL169:CL183" si="241">CL168+CK169</f>
        <v>4.0453562628852975E-2</v>
      </c>
      <c r="CM169" s="177">
        <f t="shared" ref="CM169:CM183" si="242">CM146/SUM(CM$146:CM$160)</f>
        <v>3.8793103448275877E-2</v>
      </c>
      <c r="CN169" s="177">
        <f t="shared" ref="CN169:CN183" si="243">CN168+CM169</f>
        <v>3.8793103448275877E-2</v>
      </c>
      <c r="CO169" s="429"/>
      <c r="CP169" s="177">
        <f t="shared" si="234"/>
        <v>0</v>
      </c>
      <c r="CQ169" s="226"/>
      <c r="CR169" s="226"/>
      <c r="CS169" s="226"/>
      <c r="CT169" s="226"/>
      <c r="CU169" s="226"/>
      <c r="CV169" s="226"/>
      <c r="CW169" s="226"/>
      <c r="CX169" s="226"/>
      <c r="CY169" s="226"/>
      <c r="CZ169" s="226"/>
      <c r="DA169" s="226"/>
      <c r="DB169" s="226"/>
      <c r="DC169" s="226"/>
      <c r="DD169" s="226"/>
      <c r="DE169" s="226"/>
      <c r="DF169" s="226"/>
      <c r="DG169" s="226"/>
      <c r="DH169" s="226"/>
      <c r="DI169" s="226"/>
    </row>
    <row r="170" spans="1:113" s="140" customFormat="1" x14ac:dyDescent="0.3">
      <c r="A170" s="226"/>
      <c r="B170" s="420"/>
      <c r="C170" s="226"/>
      <c r="D170" s="408">
        <v>6</v>
      </c>
      <c r="E170" s="273">
        <f t="shared" si="211"/>
        <v>44950.75</v>
      </c>
      <c r="F170" s="295">
        <f t="shared" si="212"/>
        <v>241</v>
      </c>
      <c r="G170" s="295">
        <f t="shared" si="213"/>
        <v>214</v>
      </c>
      <c r="H170" s="295">
        <f t="shared" si="214"/>
        <v>269</v>
      </c>
      <c r="I170" s="416">
        <v>294</v>
      </c>
      <c r="J170" s="416">
        <f t="shared" si="215"/>
        <v>564</v>
      </c>
      <c r="K170" s="416"/>
      <c r="L170" s="416">
        <v>953</v>
      </c>
      <c r="M170" s="417">
        <v>508</v>
      </c>
      <c r="N170" s="416">
        <v>274</v>
      </c>
      <c r="O170" s="226"/>
      <c r="P170" s="385"/>
      <c r="Q170" s="385"/>
      <c r="R170" s="421"/>
      <c r="S170" s="289"/>
      <c r="T170" s="289"/>
      <c r="U170" s="289"/>
      <c r="V170" s="289"/>
      <c r="W170" s="289"/>
      <c r="X170" s="289"/>
      <c r="Y170" s="89"/>
      <c r="Z170" s="289"/>
      <c r="AA170" s="289"/>
      <c r="AB170" s="430"/>
      <c r="AC170" s="430"/>
      <c r="AD170" s="430"/>
      <c r="AE170" s="430"/>
      <c r="AF170" s="289"/>
      <c r="AG170" s="289"/>
      <c r="AH170" s="289"/>
      <c r="AI170" s="289"/>
      <c r="AJ170" s="289"/>
      <c r="AK170" s="431" t="s">
        <v>215</v>
      </c>
      <c r="AL170" s="432">
        <f>AVERAGE(AL165:AL167)</f>
        <v>96518.801266055569</v>
      </c>
      <c r="AM170" s="431"/>
      <c r="AN170" s="287">
        <f>AVERAGE(AN165:AN167)</f>
        <v>489.33333333333331</v>
      </c>
      <c r="AO170" s="431"/>
      <c r="AP170" s="432">
        <f>MIN(AP165:AP167)</f>
        <v>68011.527836986745</v>
      </c>
      <c r="AQ170" s="433" t="s">
        <v>356</v>
      </c>
      <c r="AR170" s="287">
        <f>MIN(AR165:AR167)</f>
        <v>362</v>
      </c>
      <c r="AS170" s="289"/>
      <c r="AT170" s="432">
        <f>MAX(AT165:AT167)</f>
        <v>134718.67686997849</v>
      </c>
      <c r="AU170" s="289"/>
      <c r="AV170" s="287">
        <f>MAX(AV165:AV167)</f>
        <v>767</v>
      </c>
      <c r="AW170" s="289"/>
      <c r="AX170" s="422"/>
      <c r="AY170" s="289">
        <v>8</v>
      </c>
      <c r="AZ170" s="289"/>
      <c r="BA170" s="289"/>
      <c r="BB170" s="289"/>
      <c r="BC170" s="289"/>
      <c r="BD170" s="177">
        <f t="shared" si="216"/>
        <v>5.7555905186866464E-2</v>
      </c>
      <c r="BE170" s="177">
        <f t="shared" si="226"/>
        <v>0.21009259498078459</v>
      </c>
      <c r="BF170" s="177">
        <f t="shared" si="217"/>
        <v>5.605381165919282E-2</v>
      </c>
      <c r="BG170" s="177">
        <f t="shared" si="227"/>
        <v>0.1973094170403587</v>
      </c>
      <c r="BH170" s="289"/>
      <c r="BI170" s="289"/>
      <c r="BJ170" s="289"/>
      <c r="BK170" s="289"/>
      <c r="BL170" s="177">
        <f t="shared" si="218"/>
        <v>6.7011080342516474E-2</v>
      </c>
      <c r="BM170" s="177">
        <f t="shared" si="228"/>
        <v>0.24704019497316559</v>
      </c>
      <c r="BN170" s="177">
        <f t="shared" si="219"/>
        <v>7.0578231292517016E-2</v>
      </c>
      <c r="BO170" s="177">
        <f t="shared" si="229"/>
        <v>0.26530612244897961</v>
      </c>
      <c r="BP170" s="289"/>
      <c r="BQ170" s="289"/>
      <c r="BR170" s="289"/>
      <c r="BS170" s="289"/>
      <c r="BT170" s="177">
        <f t="shared" si="220"/>
        <v>5.8773110252080672E-2</v>
      </c>
      <c r="BU170" s="177">
        <f t="shared" si="235"/>
        <v>0.27115171982274638</v>
      </c>
      <c r="BV170" s="177">
        <f t="shared" si="221"/>
        <v>4.9261083743842374E-2</v>
      </c>
      <c r="BW170" s="177">
        <f t="shared" si="236"/>
        <v>0.28571428571428575</v>
      </c>
      <c r="BX170" s="177">
        <f t="shared" si="237"/>
        <v>6.7460015232292461E-2</v>
      </c>
      <c r="BY170" s="177">
        <f t="shared" si="238"/>
        <v>0.11966869763899468</v>
      </c>
      <c r="BZ170" s="177">
        <f t="shared" si="239"/>
        <v>6.1594202898550728E-2</v>
      </c>
      <c r="CA170" s="177">
        <f t="shared" si="238"/>
        <v>0.11956521739130435</v>
      </c>
      <c r="CB170" s="177">
        <f t="shared" si="222"/>
        <v>3.6045498795921511E-2</v>
      </c>
      <c r="CC170" s="177">
        <f t="shared" si="238"/>
        <v>6.3611210739355439E-2</v>
      </c>
      <c r="CD170" s="177">
        <f t="shared" si="223"/>
        <v>4.1871921182266007E-2</v>
      </c>
      <c r="CE170" s="177">
        <f t="shared" si="238"/>
        <v>7.6354679802955655E-2</v>
      </c>
      <c r="CF170" s="177">
        <f t="shared" si="224"/>
        <v>2.709190672153635E-2</v>
      </c>
      <c r="CG170" s="177">
        <f t="shared" si="238"/>
        <v>0.16188271604938273</v>
      </c>
      <c r="CH170" s="177">
        <f t="shared" si="225"/>
        <v>2.4436090225563908E-2</v>
      </c>
      <c r="CI170" s="177">
        <f t="shared" si="238"/>
        <v>0.15789473684210525</v>
      </c>
      <c r="CJ170" s="289"/>
      <c r="CK170" s="177">
        <f t="shared" si="240"/>
        <v>6.2829989440337908E-2</v>
      </c>
      <c r="CL170" s="177">
        <f t="shared" si="241"/>
        <v>0.10328355206919088</v>
      </c>
      <c r="CM170" s="177">
        <f t="shared" si="242"/>
        <v>5.1724137931034468E-2</v>
      </c>
      <c r="CN170" s="177">
        <f t="shared" si="243"/>
        <v>9.0517241379310345E-2</v>
      </c>
      <c r="CO170" s="429"/>
      <c r="CP170" s="177">
        <f t="shared" si="234"/>
        <v>0</v>
      </c>
      <c r="CQ170" s="226"/>
      <c r="CR170" s="226"/>
      <c r="CS170" s="226"/>
      <c r="CT170" s="226"/>
      <c r="CU170" s="226"/>
      <c r="CV170" s="226"/>
      <c r="CW170" s="226"/>
      <c r="CX170" s="226"/>
      <c r="CY170" s="226"/>
      <c r="CZ170" s="226"/>
      <c r="DA170" s="226"/>
      <c r="DB170" s="226"/>
      <c r="DC170" s="226"/>
      <c r="DD170" s="226"/>
      <c r="DE170" s="226"/>
      <c r="DF170" s="226"/>
      <c r="DG170" s="226"/>
      <c r="DH170" s="226"/>
      <c r="DI170" s="226"/>
    </row>
    <row r="171" spans="1:113" s="140" customFormat="1" x14ac:dyDescent="0.3">
      <c r="A171" s="226"/>
      <c r="B171" s="420"/>
      <c r="C171" s="226"/>
      <c r="D171" s="408">
        <v>7</v>
      </c>
      <c r="E171" s="273">
        <f t="shared" si="211"/>
        <v>44951.75</v>
      </c>
      <c r="F171" s="295">
        <f t="shared" si="212"/>
        <v>262</v>
      </c>
      <c r="G171" s="295">
        <f t="shared" si="213"/>
        <v>220</v>
      </c>
      <c r="H171" s="295">
        <f t="shared" si="214"/>
        <v>333</v>
      </c>
      <c r="I171" s="416">
        <v>308</v>
      </c>
      <c r="J171" s="416">
        <f t="shared" si="215"/>
        <v>652</v>
      </c>
      <c r="K171" s="416"/>
      <c r="L171" s="416">
        <v>1044</v>
      </c>
      <c r="M171" s="417">
        <v>523</v>
      </c>
      <c r="N171" s="416">
        <v>295</v>
      </c>
      <c r="O171" s="226"/>
      <c r="P171" s="385"/>
      <c r="Q171" s="385"/>
      <c r="R171" s="421"/>
      <c r="S171" s="289"/>
      <c r="T171" s="289"/>
      <c r="U171" s="289"/>
      <c r="V171" s="289"/>
      <c r="W171" s="289"/>
      <c r="X171" s="289"/>
      <c r="Y171" s="89"/>
      <c r="Z171" s="289"/>
      <c r="AA171" s="289"/>
      <c r="AB171" s="430"/>
      <c r="AC171" s="430"/>
      <c r="AD171" s="430"/>
      <c r="AE171" s="430"/>
      <c r="AF171" s="289"/>
      <c r="AG171" s="289"/>
      <c r="AH171" s="435"/>
      <c r="AI171" s="435"/>
      <c r="AJ171" s="289"/>
      <c r="AK171" s="289"/>
      <c r="AL171" s="289"/>
      <c r="AM171" s="289"/>
      <c r="AN171" s="289"/>
      <c r="AO171" s="289"/>
      <c r="AP171" s="435">
        <f>AP170/AR170</f>
        <v>187.87714872095785</v>
      </c>
      <c r="AQ171" s="289"/>
      <c r="AR171" s="289"/>
      <c r="AS171" s="289"/>
      <c r="AT171" s="435">
        <f>AT170/AV170</f>
        <v>175.64364650583897</v>
      </c>
      <c r="AU171" s="430"/>
      <c r="AV171" s="289"/>
      <c r="AW171" s="289"/>
      <c r="AX171" s="422"/>
      <c r="AY171" s="289">
        <v>9</v>
      </c>
      <c r="AZ171" s="289"/>
      <c r="BA171" s="289"/>
      <c r="BB171" s="289"/>
      <c r="BC171" s="289"/>
      <c r="BD171" s="177">
        <f t="shared" si="216"/>
        <v>7.7145289004668424E-2</v>
      </c>
      <c r="BE171" s="177">
        <f t="shared" si="226"/>
        <v>0.28723788398545302</v>
      </c>
      <c r="BF171" s="177">
        <f t="shared" si="217"/>
        <v>8.2959641255605371E-2</v>
      </c>
      <c r="BG171" s="177">
        <f t="shared" si="227"/>
        <v>0.28026905829596405</v>
      </c>
      <c r="BH171" s="289"/>
      <c r="BI171" s="289"/>
      <c r="BJ171" s="289"/>
      <c r="BK171" s="289"/>
      <c r="BL171" s="177">
        <f t="shared" si="218"/>
        <v>4.4299479366191268E-2</v>
      </c>
      <c r="BM171" s="177">
        <f t="shared" si="228"/>
        <v>0.29133967433935687</v>
      </c>
      <c r="BN171" s="177">
        <f t="shared" si="219"/>
        <v>5.0170068027210885E-2</v>
      </c>
      <c r="BO171" s="177">
        <f t="shared" si="229"/>
        <v>0.31547619047619047</v>
      </c>
      <c r="BP171" s="289"/>
      <c r="BQ171" s="289"/>
      <c r="BR171" s="289"/>
      <c r="BS171" s="289"/>
      <c r="BT171" s="177">
        <f t="shared" si="220"/>
        <v>3.8467802072529977E-2</v>
      </c>
      <c r="BU171" s="177">
        <f t="shared" si="235"/>
        <v>0.30961952189527636</v>
      </c>
      <c r="BV171" s="177">
        <f t="shared" si="221"/>
        <v>3.4482758620689662E-2</v>
      </c>
      <c r="BW171" s="177">
        <f t="shared" si="236"/>
        <v>0.32019704433497542</v>
      </c>
      <c r="BX171" s="177">
        <f t="shared" si="237"/>
        <v>4.1984006092916984E-2</v>
      </c>
      <c r="BY171" s="177">
        <f t="shared" si="238"/>
        <v>0.16165270373191165</v>
      </c>
      <c r="BZ171" s="177">
        <f t="shared" si="239"/>
        <v>5.0724637681159424E-2</v>
      </c>
      <c r="CA171" s="177">
        <f t="shared" si="238"/>
        <v>0.17028985507246377</v>
      </c>
      <c r="CB171" s="177">
        <f t="shared" si="222"/>
        <v>5.7706102372290825E-2</v>
      </c>
      <c r="CC171" s="177">
        <f t="shared" si="238"/>
        <v>0.12131731311164626</v>
      </c>
      <c r="CD171" s="177">
        <f t="shared" si="223"/>
        <v>6.157635467980295E-2</v>
      </c>
      <c r="CE171" s="177">
        <f t="shared" si="238"/>
        <v>0.13793103448275862</v>
      </c>
      <c r="CF171" s="177">
        <f t="shared" si="224"/>
        <v>3.2698902606310011E-2</v>
      </c>
      <c r="CG171" s="177">
        <f t="shared" si="238"/>
        <v>0.19458161865569273</v>
      </c>
      <c r="CH171" s="177">
        <f t="shared" si="225"/>
        <v>3.9473684210526314E-2</v>
      </c>
      <c r="CI171" s="177">
        <f t="shared" si="238"/>
        <v>0.19736842105263158</v>
      </c>
      <c r="CJ171" s="289"/>
      <c r="CK171" s="177">
        <f t="shared" si="240"/>
        <v>2.9893900538039992E-2</v>
      </c>
      <c r="CL171" s="177">
        <f t="shared" si="241"/>
        <v>0.13317745260723088</v>
      </c>
      <c r="CM171" s="177">
        <f t="shared" si="242"/>
        <v>2.5862068965517276E-2</v>
      </c>
      <c r="CN171" s="177">
        <f t="shared" si="243"/>
        <v>0.11637931034482762</v>
      </c>
      <c r="CO171" s="429"/>
      <c r="CP171" s="177">
        <f t="shared" si="234"/>
        <v>0</v>
      </c>
      <c r="CQ171" s="226"/>
      <c r="CR171" s="226"/>
      <c r="CS171" s="226"/>
      <c r="CT171" s="226"/>
      <c r="CU171" s="226"/>
      <c r="CV171" s="226"/>
      <c r="CW171" s="226"/>
      <c r="CX171" s="226"/>
      <c r="CY171" s="226"/>
      <c r="CZ171" s="226"/>
      <c r="DA171" s="226"/>
      <c r="DB171" s="226"/>
      <c r="DC171" s="226"/>
      <c r="DD171" s="226"/>
      <c r="DE171" s="226"/>
      <c r="DF171" s="226"/>
      <c r="DG171" s="226"/>
      <c r="DH171" s="226"/>
      <c r="DI171" s="226"/>
    </row>
    <row r="172" spans="1:113" s="140" customFormat="1" x14ac:dyDescent="0.3">
      <c r="A172" s="226"/>
      <c r="B172" s="420"/>
      <c r="C172" s="226"/>
      <c r="D172" s="408">
        <v>8</v>
      </c>
      <c r="E172" s="273">
        <f t="shared" si="211"/>
        <v>44952.75</v>
      </c>
      <c r="F172" s="295">
        <f t="shared" si="212"/>
        <v>287</v>
      </c>
      <c r="G172" s="295">
        <f t="shared" si="213"/>
        <v>224</v>
      </c>
      <c r="H172" s="295">
        <f t="shared" si="214"/>
        <v>361</v>
      </c>
      <c r="I172" s="416">
        <v>325</v>
      </c>
      <c r="J172" s="416">
        <f t="shared" si="215"/>
        <v>709</v>
      </c>
      <c r="K172" s="416"/>
      <c r="L172" s="416">
        <v>1084</v>
      </c>
      <c r="M172" s="417">
        <v>539</v>
      </c>
      <c r="N172" s="416">
        <v>308</v>
      </c>
      <c r="O172" s="226"/>
      <c r="P172" s="385"/>
      <c r="Q172" s="385"/>
      <c r="R172" s="421"/>
      <c r="S172" s="289"/>
      <c r="T172" s="289"/>
      <c r="U172" s="289"/>
      <c r="V172" s="289"/>
      <c r="W172" s="289"/>
      <c r="X172" s="289"/>
      <c r="Y172" s="89"/>
      <c r="Z172" s="289"/>
      <c r="AA172" s="289"/>
      <c r="AB172" s="289"/>
      <c r="AC172" s="289"/>
      <c r="AD172" s="289"/>
      <c r="AE172" s="289"/>
      <c r="AF172" s="289"/>
      <c r="AG172" s="289"/>
      <c r="AH172" s="435"/>
      <c r="AI172" s="289"/>
      <c r="AJ172" s="435"/>
      <c r="AK172" s="289"/>
      <c r="AL172" s="289"/>
      <c r="AM172" s="289"/>
      <c r="AN172" s="289"/>
      <c r="AO172" s="289"/>
      <c r="AP172" s="289"/>
      <c r="AQ172" s="289"/>
      <c r="AR172" s="289"/>
      <c r="AS172" s="289"/>
      <c r="AT172" s="289"/>
      <c r="AU172" s="289"/>
      <c r="AV172" s="289"/>
      <c r="AW172" s="289"/>
      <c r="AX172" s="422"/>
      <c r="AY172" s="289">
        <v>10</v>
      </c>
      <c r="AZ172" s="289"/>
      <c r="BA172" s="289"/>
      <c r="BB172" s="289"/>
      <c r="BC172" s="289"/>
      <c r="BD172" s="177">
        <f t="shared" si="216"/>
        <v>2.7649531866601323E-2</v>
      </c>
      <c r="BE172" s="177">
        <f t="shared" si="226"/>
        <v>0.31488741585205438</v>
      </c>
      <c r="BF172" s="177">
        <f t="shared" si="217"/>
        <v>2.6905829596412554E-2</v>
      </c>
      <c r="BG172" s="177">
        <f t="shared" si="227"/>
        <v>0.30717488789237662</v>
      </c>
      <c r="BH172" s="289"/>
      <c r="BI172" s="289"/>
      <c r="BJ172" s="289"/>
      <c r="BK172" s="289"/>
      <c r="BL172" s="177">
        <f t="shared" si="218"/>
        <v>3.2387290259733151E-2</v>
      </c>
      <c r="BM172" s="177">
        <f t="shared" si="228"/>
        <v>0.32372696459909001</v>
      </c>
      <c r="BN172" s="177">
        <f t="shared" si="219"/>
        <v>3.5714285714285719E-2</v>
      </c>
      <c r="BO172" s="177">
        <f t="shared" si="229"/>
        <v>0.35119047619047616</v>
      </c>
      <c r="BP172" s="289"/>
      <c r="BQ172" s="289"/>
      <c r="BR172" s="289"/>
      <c r="BS172" s="289"/>
      <c r="BT172" s="177">
        <f t="shared" si="220"/>
        <v>3.9016362529892261E-2</v>
      </c>
      <c r="BU172" s="177">
        <f t="shared" si="235"/>
        <v>0.34863588442516863</v>
      </c>
      <c r="BV172" s="177">
        <f t="shared" si="221"/>
        <v>3.4482758620689662E-2</v>
      </c>
      <c r="BW172" s="177">
        <f t="shared" si="236"/>
        <v>0.35467980295566509</v>
      </c>
      <c r="BX172" s="177">
        <f t="shared" si="237"/>
        <v>5.4874333587204879E-2</v>
      </c>
      <c r="BY172" s="177">
        <f t="shared" si="238"/>
        <v>0.21652703731911654</v>
      </c>
      <c r="BZ172" s="177">
        <f t="shared" si="239"/>
        <v>5.4347826086956527E-2</v>
      </c>
      <c r="CA172" s="177">
        <f t="shared" si="238"/>
        <v>0.22463768115942029</v>
      </c>
      <c r="CB172" s="177">
        <f t="shared" si="222"/>
        <v>4.2911308090382745E-2</v>
      </c>
      <c r="CC172" s="177">
        <f t="shared" si="238"/>
        <v>0.164228621202029</v>
      </c>
      <c r="CD172" s="177">
        <f t="shared" si="223"/>
        <v>4.6798029556650245E-2</v>
      </c>
      <c r="CE172" s="177">
        <f t="shared" si="238"/>
        <v>0.18472906403940886</v>
      </c>
      <c r="CF172" s="177">
        <f t="shared" si="224"/>
        <v>4.0552126200274347E-2</v>
      </c>
      <c r="CG172" s="177">
        <f t="shared" si="238"/>
        <v>0.23513374485596708</v>
      </c>
      <c r="CH172" s="177">
        <f t="shared" si="225"/>
        <v>3.9473684210526314E-2</v>
      </c>
      <c r="CI172" s="177">
        <f t="shared" si="238"/>
        <v>0.23684210526315791</v>
      </c>
      <c r="CJ172" s="289"/>
      <c r="CK172" s="177">
        <f t="shared" si="240"/>
        <v>9.3503293608890273E-2</v>
      </c>
      <c r="CL172" s="177">
        <f t="shared" si="241"/>
        <v>0.22668074621612117</v>
      </c>
      <c r="CM172" s="177">
        <f t="shared" si="242"/>
        <v>8.1896551724137859E-2</v>
      </c>
      <c r="CN172" s="177">
        <f t="shared" si="243"/>
        <v>0.19827586206896547</v>
      </c>
      <c r="CO172" s="429"/>
      <c r="CP172" s="177">
        <f t="shared" si="234"/>
        <v>0</v>
      </c>
      <c r="CQ172" s="226"/>
      <c r="CR172" s="226"/>
      <c r="CS172" s="226"/>
      <c r="CT172" s="226"/>
      <c r="CU172" s="226"/>
      <c r="CV172" s="226"/>
      <c r="CW172" s="226"/>
      <c r="CX172" s="226"/>
      <c r="CY172" s="226"/>
      <c r="CZ172" s="226"/>
      <c r="DA172" s="226"/>
      <c r="DB172" s="226"/>
      <c r="DC172" s="226"/>
      <c r="DD172" s="226"/>
      <c r="DE172" s="226"/>
      <c r="DF172" s="226"/>
      <c r="DG172" s="226"/>
      <c r="DH172" s="226"/>
      <c r="DI172" s="226"/>
    </row>
    <row r="173" spans="1:113" s="140" customFormat="1" x14ac:dyDescent="0.3">
      <c r="A173" s="226"/>
      <c r="B173" s="420"/>
      <c r="C173" s="226"/>
      <c r="D173" s="408">
        <v>9</v>
      </c>
      <c r="E173" s="273">
        <f t="shared" si="211"/>
        <v>44953.75</v>
      </c>
      <c r="F173" s="295">
        <f t="shared" si="212"/>
        <v>324</v>
      </c>
      <c r="G173" s="295">
        <f t="shared" si="213"/>
        <v>230</v>
      </c>
      <c r="H173" s="295">
        <f t="shared" si="214"/>
        <v>381</v>
      </c>
      <c r="I173" s="416">
        <v>350</v>
      </c>
      <c r="J173" s="416">
        <f t="shared" si="215"/>
        <v>792</v>
      </c>
      <c r="K173" s="416"/>
      <c r="L173" s="416">
        <v>1112</v>
      </c>
      <c r="M173" s="417">
        <v>551</v>
      </c>
      <c r="N173" s="416">
        <v>329</v>
      </c>
      <c r="O173" s="226"/>
      <c r="P173" s="385"/>
      <c r="Q173" s="385"/>
      <c r="R173" s="421"/>
      <c r="S173" s="289"/>
      <c r="T173" s="289"/>
      <c r="U173" s="289"/>
      <c r="V173" s="289"/>
      <c r="W173" s="289"/>
      <c r="X173" s="289"/>
      <c r="Y173" s="89"/>
      <c r="Z173" s="289"/>
      <c r="AA173" s="289"/>
      <c r="AB173" s="289"/>
      <c r="AC173" s="289"/>
      <c r="AD173" s="289"/>
      <c r="AE173" s="290"/>
      <c r="AF173" s="289"/>
      <c r="AG173" s="289"/>
      <c r="AH173" s="435"/>
      <c r="AI173" s="289"/>
      <c r="AJ173" s="435"/>
      <c r="AK173" s="289"/>
      <c r="AL173" s="289"/>
      <c r="AM173" s="289"/>
      <c r="AN173" s="289"/>
      <c r="AO173" s="289"/>
      <c r="AP173" s="289"/>
      <c r="AQ173" s="289"/>
      <c r="AR173" s="289"/>
      <c r="AS173" s="289"/>
      <c r="AT173" s="289"/>
      <c r="AU173" s="289"/>
      <c r="AV173" s="289"/>
      <c r="AW173" s="289"/>
      <c r="AX173" s="422"/>
      <c r="AY173" s="289">
        <v>11</v>
      </c>
      <c r="AZ173" s="289"/>
      <c r="BA173" s="289"/>
      <c r="BB173" s="289"/>
      <c r="BC173" s="289"/>
      <c r="BD173" s="177">
        <f t="shared" si="216"/>
        <v>1.4172964329008794E-2</v>
      </c>
      <c r="BE173" s="177">
        <f t="shared" si="226"/>
        <v>0.32906038018106315</v>
      </c>
      <c r="BF173" s="177">
        <f t="shared" si="217"/>
        <v>2.0179372197309416E-2</v>
      </c>
      <c r="BG173" s="177">
        <f t="shared" si="227"/>
        <v>0.32735426008968604</v>
      </c>
      <c r="BH173" s="289"/>
      <c r="BI173" s="289"/>
      <c r="BJ173" s="289"/>
      <c r="BK173" s="289"/>
      <c r="BL173" s="177">
        <f t="shared" si="218"/>
        <v>3.2533228257974597E-2</v>
      </c>
      <c r="BM173" s="177">
        <f t="shared" si="228"/>
        <v>0.35626019285706462</v>
      </c>
      <c r="BN173" s="177">
        <f t="shared" si="219"/>
        <v>3.5714285714285719E-2</v>
      </c>
      <c r="BO173" s="177">
        <f t="shared" si="229"/>
        <v>0.38690476190476186</v>
      </c>
      <c r="BP173" s="289"/>
      <c r="BQ173" s="289"/>
      <c r="BR173" s="289"/>
      <c r="BS173" s="289"/>
      <c r="BT173" s="177">
        <f t="shared" si="220"/>
        <v>2.752230669672321E-2</v>
      </c>
      <c r="BU173" s="177">
        <f t="shared" si="235"/>
        <v>0.37615819112189186</v>
      </c>
      <c r="BV173" s="177">
        <f t="shared" si="221"/>
        <v>2.8325123152709363E-2</v>
      </c>
      <c r="BW173" s="177">
        <f t="shared" si="236"/>
        <v>0.38300492610837444</v>
      </c>
      <c r="BX173" s="177">
        <f t="shared" si="237"/>
        <v>2.7246763137852247E-2</v>
      </c>
      <c r="BY173" s="177">
        <f t="shared" si="238"/>
        <v>0.24377380045696878</v>
      </c>
      <c r="BZ173" s="177">
        <f t="shared" si="239"/>
        <v>3.2608695652173912E-2</v>
      </c>
      <c r="CA173" s="177">
        <f t="shared" si="238"/>
        <v>0.25724637681159418</v>
      </c>
      <c r="CB173" s="177">
        <f t="shared" si="222"/>
        <v>3.8658605318440335E-2</v>
      </c>
      <c r="CC173" s="177">
        <f t="shared" si="238"/>
        <v>0.20288722652046934</v>
      </c>
      <c r="CD173" s="177">
        <f t="shared" si="223"/>
        <v>4.1871921182266007E-2</v>
      </c>
      <c r="CE173" s="177">
        <f t="shared" si="238"/>
        <v>0.22660098522167488</v>
      </c>
      <c r="CF173" s="177">
        <f t="shared" si="224"/>
        <v>1.4874828532235939E-2</v>
      </c>
      <c r="CG173" s="177">
        <f t="shared" si="238"/>
        <v>0.25000857338820304</v>
      </c>
      <c r="CH173" s="177">
        <f t="shared" si="225"/>
        <v>1.1278195488721804E-2</v>
      </c>
      <c r="CI173" s="177">
        <f t="shared" si="238"/>
        <v>0.24812030075187971</v>
      </c>
      <c r="CJ173" s="289"/>
      <c r="CK173" s="177">
        <f t="shared" si="240"/>
        <v>7.8342635892794193E-2</v>
      </c>
      <c r="CL173" s="177">
        <f t="shared" si="241"/>
        <v>0.30502338210891533</v>
      </c>
      <c r="CM173" s="177">
        <f t="shared" si="242"/>
        <v>7.3275862068965553E-2</v>
      </c>
      <c r="CN173" s="177">
        <f t="shared" si="243"/>
        <v>0.27155172413793105</v>
      </c>
      <c r="CO173" s="429"/>
      <c r="CP173" s="177">
        <f t="shared" si="234"/>
        <v>0</v>
      </c>
      <c r="CQ173" s="226"/>
      <c r="CR173" s="226"/>
      <c r="CS173" s="226"/>
      <c r="CT173" s="226"/>
      <c r="CU173" s="226"/>
      <c r="CV173" s="226"/>
      <c r="CW173" s="226"/>
      <c r="CX173" s="226"/>
      <c r="CY173" s="226"/>
      <c r="CZ173" s="226"/>
      <c r="DA173" s="226"/>
      <c r="DB173" s="226"/>
      <c r="DC173" s="226"/>
      <c r="DD173" s="226"/>
      <c r="DE173" s="226"/>
      <c r="DF173" s="226"/>
      <c r="DG173" s="226"/>
      <c r="DH173" s="226"/>
      <c r="DI173" s="226"/>
    </row>
    <row r="174" spans="1:113" s="140" customFormat="1" x14ac:dyDescent="0.3">
      <c r="A174" s="226"/>
      <c r="B174" s="420"/>
      <c r="C174" s="226"/>
      <c r="D174" s="408">
        <v>10</v>
      </c>
      <c r="E174" s="273">
        <f t="shared" si="211"/>
        <v>44954.75</v>
      </c>
      <c r="F174" s="295">
        <f t="shared" si="212"/>
        <v>336</v>
      </c>
      <c r="G174" s="295">
        <f t="shared" si="213"/>
        <v>236</v>
      </c>
      <c r="H174" s="295">
        <f t="shared" si="214"/>
        <v>401</v>
      </c>
      <c r="I174" s="416">
        <v>369</v>
      </c>
      <c r="J174" s="416">
        <f t="shared" si="215"/>
        <v>851</v>
      </c>
      <c r="K174" s="416"/>
      <c r="L174" s="416">
        <v>1140</v>
      </c>
      <c r="M174" s="417">
        <v>565</v>
      </c>
      <c r="N174" s="416">
        <v>350</v>
      </c>
      <c r="O174" s="226"/>
      <c r="P174" s="385"/>
      <c r="Q174" s="385"/>
      <c r="R174" s="421"/>
      <c r="S174" s="289"/>
      <c r="T174" s="289"/>
      <c r="U174" s="289"/>
      <c r="V174" s="289"/>
      <c r="W174" s="289"/>
      <c r="X174" s="289"/>
      <c r="Y174" s="89"/>
      <c r="Z174" s="289"/>
      <c r="AA174" s="289"/>
      <c r="AB174" s="289"/>
      <c r="AC174" s="289"/>
      <c r="AD174" s="289"/>
      <c r="AE174" s="290"/>
      <c r="AF174" s="289"/>
      <c r="AG174" s="289"/>
      <c r="AH174" s="435"/>
      <c r="AI174" s="289"/>
      <c r="AJ174" s="435"/>
      <c r="AK174" s="289"/>
      <c r="AL174" s="289"/>
      <c r="AM174" s="289"/>
      <c r="AN174" s="289"/>
      <c r="AO174" s="289"/>
      <c r="AP174" s="289"/>
      <c r="AQ174" s="289"/>
      <c r="AR174" s="289"/>
      <c r="AS174" s="289"/>
      <c r="AT174" s="289"/>
      <c r="AU174" s="289"/>
      <c r="AV174" s="289"/>
      <c r="AW174" s="289"/>
      <c r="AX174" s="422"/>
      <c r="AY174" s="289">
        <v>12</v>
      </c>
      <c r="AZ174" s="289"/>
      <c r="BA174" s="289"/>
      <c r="BB174" s="289"/>
      <c r="BC174" s="289"/>
      <c r="BD174" s="177">
        <f t="shared" si="216"/>
        <v>3.0783317427974511E-2</v>
      </c>
      <c r="BE174" s="177">
        <f t="shared" si="226"/>
        <v>0.35984369760903767</v>
      </c>
      <c r="BF174" s="177">
        <f t="shared" si="217"/>
        <v>3.5874439461883401E-2</v>
      </c>
      <c r="BG174" s="177">
        <f t="shared" si="227"/>
        <v>0.36322869955156944</v>
      </c>
      <c r="BH174" s="289"/>
      <c r="BI174" s="289"/>
      <c r="BJ174" s="289"/>
      <c r="BK174" s="289"/>
      <c r="BL174" s="177">
        <f t="shared" si="218"/>
        <v>3.3091441101248134E-2</v>
      </c>
      <c r="BM174" s="177">
        <f t="shared" si="228"/>
        <v>0.38935163395831274</v>
      </c>
      <c r="BN174" s="177">
        <f t="shared" si="219"/>
        <v>3.4863945578231297E-2</v>
      </c>
      <c r="BO174" s="177">
        <f t="shared" si="229"/>
        <v>0.42176870748299317</v>
      </c>
      <c r="BP174" s="289"/>
      <c r="BQ174" s="289"/>
      <c r="BR174" s="289"/>
      <c r="BS174" s="289"/>
      <c r="BT174" s="177">
        <f t="shared" si="220"/>
        <v>2.8927992868714055E-2</v>
      </c>
      <c r="BU174" s="177">
        <f t="shared" si="235"/>
        <v>0.40508618399060592</v>
      </c>
      <c r="BV174" s="177">
        <f t="shared" si="221"/>
        <v>3.2019704433497539E-2</v>
      </c>
      <c r="BW174" s="177">
        <f t="shared" si="236"/>
        <v>0.415024630541872</v>
      </c>
      <c r="BX174" s="177">
        <f t="shared" si="237"/>
        <v>7.4904798172124906E-2</v>
      </c>
      <c r="BY174" s="177">
        <f t="shared" si="238"/>
        <v>0.3186785986290937</v>
      </c>
      <c r="BZ174" s="177">
        <f t="shared" si="239"/>
        <v>7.2463768115942032E-2</v>
      </c>
      <c r="CA174" s="177">
        <f t="shared" si="238"/>
        <v>0.3297101449275362</v>
      </c>
      <c r="CB174" s="177">
        <f t="shared" si="222"/>
        <v>2.0725521340369937E-2</v>
      </c>
      <c r="CC174" s="177">
        <f t="shared" si="238"/>
        <v>0.22361274786083929</v>
      </c>
      <c r="CD174" s="177">
        <f t="shared" si="223"/>
        <v>2.2167487684729065E-2</v>
      </c>
      <c r="CE174" s="177">
        <f t="shared" si="238"/>
        <v>0.24876847290640394</v>
      </c>
      <c r="CF174" s="177">
        <f t="shared" si="224"/>
        <v>2.650891632373114E-2</v>
      </c>
      <c r="CG174" s="177">
        <f t="shared" si="238"/>
        <v>0.27651748971193418</v>
      </c>
      <c r="CH174" s="177">
        <f t="shared" si="225"/>
        <v>2.819548872180451E-2</v>
      </c>
      <c r="CI174" s="177">
        <f t="shared" si="238"/>
        <v>0.27631578947368424</v>
      </c>
      <c r="CJ174" s="289"/>
      <c r="CK174" s="177">
        <f t="shared" si="240"/>
        <v>5.7399306079348449E-2</v>
      </c>
      <c r="CL174" s="177">
        <f t="shared" si="241"/>
        <v>0.36242268818826379</v>
      </c>
      <c r="CM174" s="177">
        <f t="shared" si="242"/>
        <v>6.4655172413793066E-2</v>
      </c>
      <c r="CN174" s="177">
        <f t="shared" si="243"/>
        <v>0.33620689655172409</v>
      </c>
      <c r="CO174" s="429"/>
      <c r="CP174" s="177">
        <f t="shared" si="234"/>
        <v>0.6020628131872241</v>
      </c>
      <c r="CQ174" s="226"/>
      <c r="CR174" s="226"/>
      <c r="CS174" s="226"/>
      <c r="CT174" s="226"/>
      <c r="CU174" s="226"/>
      <c r="CV174" s="226"/>
      <c r="CW174" s="226"/>
      <c r="CX174" s="226"/>
      <c r="CY174" s="226"/>
      <c r="CZ174" s="226"/>
      <c r="DA174" s="226"/>
      <c r="DB174" s="226"/>
      <c r="DC174" s="226"/>
      <c r="DD174" s="226"/>
      <c r="DE174" s="226"/>
      <c r="DF174" s="226"/>
      <c r="DG174" s="226"/>
      <c r="DH174" s="226"/>
      <c r="DI174" s="226"/>
    </row>
    <row r="175" spans="1:113" s="140" customFormat="1" x14ac:dyDescent="0.3">
      <c r="A175" s="226"/>
      <c r="B175" s="420"/>
      <c r="C175" s="226"/>
      <c r="D175" s="408">
        <v>11</v>
      </c>
      <c r="E175" s="273">
        <f t="shared" si="211"/>
        <v>44955.75</v>
      </c>
      <c r="F175" s="295">
        <f t="shared" si="212"/>
        <v>345</v>
      </c>
      <c r="G175" s="295">
        <f t="shared" si="213"/>
        <v>238</v>
      </c>
      <c r="H175" s="295">
        <f t="shared" si="214"/>
        <v>417</v>
      </c>
      <c r="I175" s="416">
        <v>386</v>
      </c>
      <c r="J175" s="416">
        <f t="shared" si="215"/>
        <v>893</v>
      </c>
      <c r="K175" s="416">
        <v>900</v>
      </c>
      <c r="L175" s="416">
        <v>1163</v>
      </c>
      <c r="M175" s="417">
        <v>582</v>
      </c>
      <c r="N175" s="416">
        <v>356</v>
      </c>
      <c r="O175" s="226"/>
      <c r="P175" s="385"/>
      <c r="Q175" s="385"/>
      <c r="R175" s="421"/>
      <c r="S175" s="289"/>
      <c r="T175" s="289"/>
      <c r="U175" s="289"/>
      <c r="V175" s="289"/>
      <c r="W175" s="289"/>
      <c r="X175" s="289"/>
      <c r="Y175" s="89"/>
      <c r="Z175" s="289"/>
      <c r="AA175" s="289"/>
      <c r="AB175" s="289"/>
      <c r="AC175" s="289"/>
      <c r="AD175" s="289"/>
      <c r="AE175" s="290"/>
      <c r="AF175" s="289"/>
      <c r="AG175" s="289"/>
      <c r="AH175" s="435"/>
      <c r="AI175" s="289"/>
      <c r="AJ175" s="435"/>
      <c r="AK175" s="289"/>
      <c r="AL175" s="289"/>
      <c r="AM175" s="289"/>
      <c r="AN175" s="289"/>
      <c r="AO175" s="289"/>
      <c r="AP175" s="289"/>
      <c r="AQ175" s="289"/>
      <c r="AR175" s="289"/>
      <c r="AS175" s="289"/>
      <c r="AT175" s="289"/>
      <c r="AU175" s="289"/>
      <c r="AV175" s="289"/>
      <c r="AW175" s="289"/>
      <c r="AX175" s="422"/>
      <c r="AY175" s="289">
        <v>13</v>
      </c>
      <c r="AZ175" s="289"/>
      <c r="BA175" s="289"/>
      <c r="BB175" s="289"/>
      <c r="BC175" s="289"/>
      <c r="BD175" s="177">
        <f t="shared" si="216"/>
        <v>2.8294343710505272E-2</v>
      </c>
      <c r="BE175" s="177">
        <f t="shared" si="226"/>
        <v>0.38813804131954294</v>
      </c>
      <c r="BF175" s="177">
        <f t="shared" si="217"/>
        <v>3.1390134529147976E-2</v>
      </c>
      <c r="BG175" s="177">
        <f t="shared" si="227"/>
        <v>0.39461883408071741</v>
      </c>
      <c r="BH175" s="289"/>
      <c r="BI175" s="289"/>
      <c r="BJ175" s="289"/>
      <c r="BK175" s="289"/>
      <c r="BL175" s="177">
        <f t="shared" si="218"/>
        <v>2.8592902305455529E-2</v>
      </c>
      <c r="BM175" s="177">
        <f t="shared" si="228"/>
        <v>0.41794453626376826</v>
      </c>
      <c r="BN175" s="177">
        <f t="shared" si="219"/>
        <v>2.9761904761904764E-2</v>
      </c>
      <c r="BO175" s="177">
        <f t="shared" si="229"/>
        <v>0.45153061224489793</v>
      </c>
      <c r="BP175" s="289"/>
      <c r="BQ175" s="289"/>
      <c r="BR175" s="289"/>
      <c r="BS175" s="289"/>
      <c r="BT175" s="177">
        <f t="shared" si="220"/>
        <v>2.2765258980534678E-2</v>
      </c>
      <c r="BU175" s="177">
        <f t="shared" si="235"/>
        <v>0.42785144297114058</v>
      </c>
      <c r="BV175" s="177">
        <f t="shared" si="221"/>
        <v>1.970443349753695E-2</v>
      </c>
      <c r="BW175" s="177">
        <f t="shared" si="236"/>
        <v>0.43472906403940892</v>
      </c>
      <c r="BX175" s="177">
        <f t="shared" si="237"/>
        <v>2.6028179741051028E-2</v>
      </c>
      <c r="BY175" s="177">
        <f t="shared" si="238"/>
        <v>0.34470677837014474</v>
      </c>
      <c r="BZ175" s="177">
        <f t="shared" si="239"/>
        <v>2.8985507246376815E-2</v>
      </c>
      <c r="CA175" s="177">
        <f t="shared" si="238"/>
        <v>0.35869565217391303</v>
      </c>
      <c r="CB175" s="177">
        <f t="shared" si="222"/>
        <v>3.5776502536250449E-2</v>
      </c>
      <c r="CC175" s="177">
        <f t="shared" si="238"/>
        <v>0.25938925039708971</v>
      </c>
      <c r="CD175" s="177">
        <f t="shared" si="223"/>
        <v>3.6945812807881777E-2</v>
      </c>
      <c r="CE175" s="177">
        <f t="shared" si="238"/>
        <v>0.2857142857142857</v>
      </c>
      <c r="CF175" s="177">
        <f t="shared" si="224"/>
        <v>2.4931412894375858E-2</v>
      </c>
      <c r="CG175" s="177">
        <f t="shared" si="238"/>
        <v>0.30144890260631002</v>
      </c>
      <c r="CH175" s="177">
        <f t="shared" si="225"/>
        <v>2.819548872180451E-2</v>
      </c>
      <c r="CI175" s="177">
        <f t="shared" si="238"/>
        <v>0.30451127819548873</v>
      </c>
      <c r="CJ175" s="289"/>
      <c r="CK175" s="177">
        <f t="shared" si="240"/>
        <v>1.8051993764770864E-2</v>
      </c>
      <c r="CL175" s="177">
        <f t="shared" si="241"/>
        <v>0.38047468195303463</v>
      </c>
      <c r="CM175" s="177">
        <f t="shared" si="242"/>
        <v>1.7241379310344796E-2</v>
      </c>
      <c r="CN175" s="177">
        <f t="shared" si="243"/>
        <v>0.35344827586206889</v>
      </c>
      <c r="CO175" s="429"/>
      <c r="CP175" s="177">
        <f t="shared" si="234"/>
        <v>0</v>
      </c>
      <c r="CQ175" s="226"/>
      <c r="CR175" s="226"/>
      <c r="CS175" s="226"/>
      <c r="CT175" s="226"/>
      <c r="CU175" s="226"/>
      <c r="CV175" s="226"/>
      <c r="CW175" s="226"/>
      <c r="CX175" s="226"/>
      <c r="CY175" s="226"/>
      <c r="CZ175" s="226"/>
      <c r="DA175" s="226"/>
      <c r="DB175" s="226"/>
      <c r="DC175" s="226"/>
      <c r="DD175" s="226"/>
      <c r="DE175" s="226"/>
      <c r="DF175" s="226"/>
      <c r="DG175" s="226"/>
      <c r="DH175" s="226"/>
      <c r="DI175" s="226"/>
    </row>
    <row r="176" spans="1:113" s="140" customFormat="1" x14ac:dyDescent="0.3">
      <c r="A176" s="226"/>
      <c r="B176" s="420"/>
      <c r="C176" s="226"/>
      <c r="D176" s="408">
        <v>12</v>
      </c>
      <c r="E176" s="273">
        <f t="shared" si="211"/>
        <v>44956.75</v>
      </c>
      <c r="F176" s="295">
        <f t="shared" si="212"/>
        <v>361</v>
      </c>
      <c r="G176" s="295">
        <f t="shared" si="213"/>
        <v>243</v>
      </c>
      <c r="H176" s="295">
        <f t="shared" si="214"/>
        <v>435</v>
      </c>
      <c r="I176" s="416">
        <v>395</v>
      </c>
      <c r="J176" s="416">
        <f t="shared" si="215"/>
        <v>935</v>
      </c>
      <c r="K176" s="416"/>
      <c r="L176" s="416">
        <v>1189</v>
      </c>
      <c r="M176" s="417">
        <v>598</v>
      </c>
      <c r="N176" s="416">
        <v>371</v>
      </c>
      <c r="O176" s="226"/>
      <c r="P176" s="385"/>
      <c r="Q176" s="385"/>
      <c r="R176" s="421"/>
      <c r="S176" s="289"/>
      <c r="T176" s="289"/>
      <c r="U176" s="289"/>
      <c r="V176" s="289"/>
      <c r="W176" s="289"/>
      <c r="X176" s="289"/>
      <c r="Y176" s="89"/>
      <c r="Z176" s="289"/>
      <c r="AA176" s="289"/>
      <c r="AB176" s="289"/>
      <c r="AC176" s="289"/>
      <c r="AD176" s="289"/>
      <c r="AE176" s="290"/>
      <c r="AF176" s="289"/>
      <c r="AG176" s="289"/>
      <c r="AH176" s="435"/>
      <c r="AI176" s="289"/>
      <c r="AJ176" s="435"/>
      <c r="AK176" s="289"/>
      <c r="AL176" s="289"/>
      <c r="AM176" s="289"/>
      <c r="AN176" s="289"/>
      <c r="AO176" s="289"/>
      <c r="AP176" s="289"/>
      <c r="AQ176" s="289"/>
      <c r="AR176" s="289"/>
      <c r="AS176" s="289"/>
      <c r="AT176" s="289"/>
      <c r="AU176" s="289"/>
      <c r="AV176" s="289"/>
      <c r="AW176" s="289"/>
      <c r="AX176" s="422"/>
      <c r="AY176" s="289">
        <v>14</v>
      </c>
      <c r="AZ176" s="289"/>
      <c r="BA176" s="289"/>
      <c r="BB176" s="289"/>
      <c r="BC176" s="289"/>
      <c r="BD176" s="177">
        <f t="shared" si="216"/>
        <v>4.3331355910345357E-2</v>
      </c>
      <c r="BE176" s="177">
        <f t="shared" si="226"/>
        <v>0.43146939722988831</v>
      </c>
      <c r="BF176" s="177">
        <f t="shared" si="217"/>
        <v>4.4843049327354258E-2</v>
      </c>
      <c r="BG176" s="177">
        <f t="shared" si="227"/>
        <v>0.43946188340807169</v>
      </c>
      <c r="BH176" s="289"/>
      <c r="BI176" s="289"/>
      <c r="BJ176" s="289"/>
      <c r="BK176" s="289"/>
      <c r="BL176" s="177">
        <f t="shared" si="218"/>
        <v>4.0461310012441215E-2</v>
      </c>
      <c r="BM176" s="177">
        <f t="shared" si="228"/>
        <v>0.45840584627620951</v>
      </c>
      <c r="BN176" s="177">
        <f t="shared" si="219"/>
        <v>4.1666666666666671E-2</v>
      </c>
      <c r="BO176" s="177">
        <f t="shared" si="229"/>
        <v>0.49319727891156462</v>
      </c>
      <c r="BP176" s="289"/>
      <c r="BQ176" s="289"/>
      <c r="BR176" s="289"/>
      <c r="BS176" s="289"/>
      <c r="BT176" s="177">
        <f t="shared" si="220"/>
        <v>3.5939281214375715E-2</v>
      </c>
      <c r="BU176" s="177">
        <f t="shared" si="235"/>
        <v>0.46379072418551631</v>
      </c>
      <c r="BV176" s="177">
        <f t="shared" si="221"/>
        <v>3.3251231527093604E-2</v>
      </c>
      <c r="BW176" s="177">
        <f t="shared" si="236"/>
        <v>0.4679802955665025</v>
      </c>
      <c r="BX176" s="177">
        <f t="shared" si="237"/>
        <v>3.9470677837014474E-2</v>
      </c>
      <c r="BY176" s="177">
        <f t="shared" si="238"/>
        <v>0.38417745620715921</v>
      </c>
      <c r="BZ176" s="177">
        <f t="shared" si="239"/>
        <v>3.9855072463768119E-2</v>
      </c>
      <c r="CA176" s="177">
        <f t="shared" si="238"/>
        <v>0.39855072463768115</v>
      </c>
      <c r="CB176" s="177">
        <f t="shared" si="222"/>
        <v>1.7062048470564126E-2</v>
      </c>
      <c r="CC176" s="177">
        <f t="shared" si="238"/>
        <v>0.27645129886765385</v>
      </c>
      <c r="CD176" s="177">
        <f t="shared" si="223"/>
        <v>1.7241379310344827E-2</v>
      </c>
      <c r="CE176" s="177">
        <f t="shared" si="238"/>
        <v>0.3029556650246305</v>
      </c>
      <c r="CF176" s="177">
        <f t="shared" si="224"/>
        <v>3.4696502057613168E-2</v>
      </c>
      <c r="CG176" s="177">
        <f t="shared" si="238"/>
        <v>0.33614540466392318</v>
      </c>
      <c r="CH176" s="177">
        <f t="shared" si="225"/>
        <v>3.1954887218045111E-2</v>
      </c>
      <c r="CI176" s="177">
        <f t="shared" si="238"/>
        <v>0.33646616541353386</v>
      </c>
      <c r="CJ176" s="289"/>
      <c r="CK176" s="177">
        <f t="shared" si="240"/>
        <v>2.1043898023834617E-2</v>
      </c>
      <c r="CL176" s="177">
        <f t="shared" si="241"/>
        <v>0.40151857997686924</v>
      </c>
      <c r="CM176" s="177">
        <f t="shared" si="242"/>
        <v>3.4482758620689759E-2</v>
      </c>
      <c r="CN176" s="177">
        <f t="shared" si="243"/>
        <v>0.38793103448275867</v>
      </c>
      <c r="CO176" s="429"/>
      <c r="CP176" s="177">
        <f t="shared" si="234"/>
        <v>0</v>
      </c>
      <c r="CQ176" s="226"/>
      <c r="CR176" s="226"/>
      <c r="CS176" s="226"/>
      <c r="CT176" s="226"/>
      <c r="CU176" s="226"/>
      <c r="CV176" s="226"/>
      <c r="CW176" s="226"/>
      <c r="CX176" s="226"/>
      <c r="CY176" s="226"/>
      <c r="CZ176" s="226"/>
      <c r="DA176" s="226"/>
      <c r="DB176" s="226"/>
      <c r="DC176" s="226"/>
      <c r="DD176" s="226"/>
      <c r="DE176" s="226"/>
      <c r="DF176" s="226"/>
      <c r="DG176" s="226"/>
      <c r="DH176" s="226"/>
      <c r="DI176" s="226"/>
    </row>
    <row r="177" spans="1:113" s="140" customFormat="1" x14ac:dyDescent="0.3">
      <c r="A177" s="226"/>
      <c r="B177" s="420"/>
      <c r="C177" s="226"/>
      <c r="D177" s="408">
        <v>13</v>
      </c>
      <c r="E177" s="273">
        <f t="shared" si="211"/>
        <v>44957.75</v>
      </c>
      <c r="F177" s="295">
        <f t="shared" si="212"/>
        <v>375</v>
      </c>
      <c r="G177" s="295">
        <f t="shared" si="213"/>
        <v>248</v>
      </c>
      <c r="H177" s="295">
        <f t="shared" si="214"/>
        <v>446</v>
      </c>
      <c r="I177" s="416">
        <v>410</v>
      </c>
      <c r="J177" s="416">
        <f t="shared" si="215"/>
        <v>976</v>
      </c>
      <c r="K177" s="416"/>
      <c r="L177" s="416">
        <v>1205</v>
      </c>
      <c r="M177" s="417">
        <v>624</v>
      </c>
      <c r="N177" s="416">
        <v>386</v>
      </c>
      <c r="O177" s="226"/>
      <c r="P177" s="385"/>
      <c r="Q177" s="385"/>
      <c r="R177" s="421"/>
      <c r="S177" s="289"/>
      <c r="T177" s="289"/>
      <c r="U177" s="289"/>
      <c r="V177" s="289"/>
      <c r="W177" s="289"/>
      <c r="X177" s="289"/>
      <c r="Y177" s="89"/>
      <c r="Z177" s="289"/>
      <c r="AA177" s="289"/>
      <c r="AB177" s="289"/>
      <c r="AC177" s="289"/>
      <c r="AD177" s="289"/>
      <c r="AE177" s="290"/>
      <c r="AF177" s="289"/>
      <c r="AG177" s="289"/>
      <c r="AH177" s="435"/>
      <c r="AI177" s="289"/>
      <c r="AJ177" s="435"/>
      <c r="AK177" s="289"/>
      <c r="AL177" s="289"/>
      <c r="AM177" s="289"/>
      <c r="AN177" s="289"/>
      <c r="AO177" s="289"/>
      <c r="AP177" s="422"/>
      <c r="AQ177" s="93"/>
      <c r="AR177" s="439"/>
      <c r="AS177" s="289"/>
      <c r="AT177" s="289"/>
      <c r="AU177" s="289"/>
      <c r="AV177" s="289"/>
      <c r="AW177" s="289"/>
      <c r="AX177" s="422"/>
      <c r="AY177" s="289">
        <v>15</v>
      </c>
      <c r="AZ177" s="289"/>
      <c r="BA177" s="289"/>
      <c r="BB177" s="289"/>
      <c r="BC177" s="289"/>
      <c r="BD177" s="177">
        <f t="shared" si="216"/>
        <v>4.5691367259033812E-2</v>
      </c>
      <c r="BE177" s="177">
        <f t="shared" si="226"/>
        <v>0.47716076448892214</v>
      </c>
      <c r="BF177" s="177">
        <f t="shared" si="217"/>
        <v>4.4843049327354258E-2</v>
      </c>
      <c r="BG177" s="177">
        <f t="shared" si="227"/>
        <v>0.48430493273542596</v>
      </c>
      <c r="BH177" s="289"/>
      <c r="BI177" s="289"/>
      <c r="BJ177" s="289"/>
      <c r="BK177" s="289"/>
      <c r="BL177" s="177">
        <f t="shared" si="218"/>
        <v>2.9950125689100982E-2</v>
      </c>
      <c r="BM177" s="177">
        <f t="shared" si="228"/>
        <v>0.4883559719653105</v>
      </c>
      <c r="BN177" s="177">
        <f t="shared" si="219"/>
        <v>3.0612244897959186E-2</v>
      </c>
      <c r="BO177" s="177">
        <f t="shared" si="229"/>
        <v>0.52380952380952384</v>
      </c>
      <c r="BP177" s="289"/>
      <c r="BQ177" s="289"/>
      <c r="BR177" s="289"/>
      <c r="BS177" s="289"/>
      <c r="BT177" s="177">
        <f t="shared" si="220"/>
        <v>9.9803718211350062E-2</v>
      </c>
      <c r="BU177" s="177">
        <f t="shared" si="235"/>
        <v>0.5635944423968664</v>
      </c>
      <c r="BV177" s="177">
        <f t="shared" si="221"/>
        <v>9.9753694581280805E-2</v>
      </c>
      <c r="BW177" s="177">
        <f t="shared" si="236"/>
        <v>0.56773399014778336</v>
      </c>
      <c r="BX177" s="177">
        <f t="shared" si="237"/>
        <v>2.8484386900228486E-2</v>
      </c>
      <c r="BY177" s="177">
        <f t="shared" si="238"/>
        <v>0.41266184310738768</v>
      </c>
      <c r="BZ177" s="177">
        <f t="shared" si="239"/>
        <v>2.5362318840579712E-2</v>
      </c>
      <c r="CA177" s="177">
        <f t="shared" si="238"/>
        <v>0.42391304347826086</v>
      </c>
      <c r="CB177" s="177">
        <f t="shared" si="222"/>
        <v>2.0558999846287854E-2</v>
      </c>
      <c r="CC177" s="177">
        <f t="shared" si="238"/>
        <v>0.29701029871394169</v>
      </c>
      <c r="CD177" s="177">
        <f t="shared" si="223"/>
        <v>2.463054187192118E-2</v>
      </c>
      <c r="CE177" s="177">
        <f t="shared" si="238"/>
        <v>0.32758620689655171</v>
      </c>
      <c r="CF177" s="177">
        <f t="shared" si="224"/>
        <v>3.7354252400548696E-2</v>
      </c>
      <c r="CG177" s="177">
        <f t="shared" si="238"/>
        <v>0.37349965706447186</v>
      </c>
      <c r="CH177" s="177">
        <f t="shared" si="225"/>
        <v>3.5714285714285712E-2</v>
      </c>
      <c r="CI177" s="177">
        <f t="shared" si="238"/>
        <v>0.37218045112781956</v>
      </c>
      <c r="CJ177" s="289"/>
      <c r="CK177" s="177">
        <f t="shared" si="240"/>
        <v>4.6764217830743762E-2</v>
      </c>
      <c r="CL177" s="177">
        <f t="shared" si="241"/>
        <v>0.44828279780761299</v>
      </c>
      <c r="CM177" s="177">
        <f t="shared" si="242"/>
        <v>3.8793103448275877E-2</v>
      </c>
      <c r="CN177" s="177">
        <f t="shared" si="243"/>
        <v>0.42672413793103453</v>
      </c>
      <c r="CO177" s="429"/>
      <c r="CP177" s="177">
        <f t="shared" si="234"/>
        <v>0</v>
      </c>
      <c r="CQ177" s="226"/>
      <c r="CR177" s="226"/>
      <c r="CS177" s="226"/>
      <c r="CT177" s="226"/>
      <c r="CU177" s="226"/>
      <c r="CV177" s="226"/>
      <c r="CW177" s="226"/>
      <c r="CX177" s="226"/>
      <c r="CY177" s="226"/>
      <c r="CZ177" s="226"/>
      <c r="DA177" s="226"/>
      <c r="DB177" s="226"/>
      <c r="DC177" s="226"/>
      <c r="DD177" s="226"/>
      <c r="DE177" s="226"/>
      <c r="DF177" s="226"/>
      <c r="DG177" s="226"/>
      <c r="DH177" s="226"/>
      <c r="DI177" s="226"/>
    </row>
    <row r="178" spans="1:113" s="140" customFormat="1" x14ac:dyDescent="0.3">
      <c r="A178" s="226"/>
      <c r="B178" s="420"/>
      <c r="C178" s="226"/>
      <c r="D178" s="408">
        <v>14</v>
      </c>
      <c r="E178" s="273">
        <f t="shared" si="211"/>
        <v>44958.75</v>
      </c>
      <c r="F178" s="295">
        <f t="shared" si="212"/>
        <v>395</v>
      </c>
      <c r="G178" s="295">
        <f t="shared" si="213"/>
        <v>253</v>
      </c>
      <c r="H178" s="295">
        <f t="shared" si="214"/>
        <v>465</v>
      </c>
      <c r="I178" s="416">
        <v>417</v>
      </c>
      <c r="J178" s="416">
        <f t="shared" si="215"/>
        <v>1011</v>
      </c>
      <c r="K178" s="416"/>
      <c r="L178" s="416">
        <v>1232</v>
      </c>
      <c r="M178" s="417">
        <v>650</v>
      </c>
      <c r="N178" s="416">
        <v>403</v>
      </c>
      <c r="O178" s="226"/>
      <c r="P178" s="385"/>
      <c r="Q178" s="385"/>
      <c r="R178" s="421"/>
      <c r="S178" s="289"/>
      <c r="T178" s="289"/>
      <c r="U178" s="289"/>
      <c r="V178" s="289"/>
      <c r="W178" s="289"/>
      <c r="X178" s="289"/>
      <c r="Y178" s="89"/>
      <c r="Z178" s="289"/>
      <c r="AA178" s="289"/>
      <c r="AB178" s="289"/>
      <c r="AC178" s="289"/>
      <c r="AD178" s="289"/>
      <c r="AE178" s="290"/>
      <c r="AF178" s="289"/>
      <c r="AG178" s="289"/>
      <c r="AH178" s="435"/>
      <c r="AI178" s="289"/>
      <c r="AJ178" s="435"/>
      <c r="AK178" s="289"/>
      <c r="AL178" s="289"/>
      <c r="AM178" s="289"/>
      <c r="AN178" s="289"/>
      <c r="AO178" s="289"/>
      <c r="AP178" s="132"/>
      <c r="AQ178" s="440"/>
      <c r="AR178" s="424"/>
      <c r="AS178" s="289"/>
      <c r="AT178" s="289"/>
      <c r="AU178" s="289"/>
      <c r="AV178" s="289"/>
      <c r="AW178" s="289"/>
      <c r="AX178" s="422"/>
      <c r="AY178" s="289">
        <v>16</v>
      </c>
      <c r="AZ178" s="289"/>
      <c r="BA178" s="289"/>
      <c r="BB178" s="289"/>
      <c r="BC178" s="289"/>
      <c r="BD178" s="177">
        <f t="shared" si="216"/>
        <v>4.4840215625080594E-2</v>
      </c>
      <c r="BE178" s="177">
        <f t="shared" si="226"/>
        <v>0.52200098011400275</v>
      </c>
      <c r="BF178" s="177">
        <f t="shared" si="217"/>
        <v>5.1569506726457395E-2</v>
      </c>
      <c r="BG178" s="177">
        <f t="shared" si="227"/>
        <v>0.5358744394618834</v>
      </c>
      <c r="BH178" s="289"/>
      <c r="BI178" s="289"/>
      <c r="BJ178" s="289"/>
      <c r="BK178" s="289"/>
      <c r="BL178" s="177">
        <f t="shared" si="218"/>
        <v>3.1617467319009517E-2</v>
      </c>
      <c r="BM178" s="177">
        <f t="shared" si="228"/>
        <v>0.51997343928432005</v>
      </c>
      <c r="BN178" s="177">
        <f t="shared" si="219"/>
        <v>3.2312925170068035E-2</v>
      </c>
      <c r="BO178" s="177">
        <f t="shared" si="229"/>
        <v>0.55612244897959184</v>
      </c>
      <c r="BP178" s="289"/>
      <c r="BQ178" s="289"/>
      <c r="BR178" s="289"/>
      <c r="BS178" s="289"/>
      <c r="BT178" s="177">
        <f t="shared" si="220"/>
        <v>4.2779144417111663E-2</v>
      </c>
      <c r="BU178" s="177">
        <f t="shared" si="235"/>
        <v>0.60637358681397802</v>
      </c>
      <c r="BV178" s="177">
        <f t="shared" si="221"/>
        <v>4.5566502463054194E-2</v>
      </c>
      <c r="BW178" s="177">
        <f t="shared" si="236"/>
        <v>0.61330049261083752</v>
      </c>
      <c r="BX178" s="177">
        <f t="shared" si="237"/>
        <v>5.1180502665651183E-2</v>
      </c>
      <c r="BY178" s="177">
        <f t="shared" si="238"/>
        <v>0.46384234577303884</v>
      </c>
      <c r="BZ178" s="177">
        <f t="shared" si="239"/>
        <v>4.3478260869565223E-2</v>
      </c>
      <c r="CA178" s="177">
        <f t="shared" si="238"/>
        <v>0.46739130434782611</v>
      </c>
      <c r="CB178" s="177">
        <f t="shared" si="222"/>
        <v>3.8850745503919662E-2</v>
      </c>
      <c r="CC178" s="177">
        <f t="shared" si="238"/>
        <v>0.33586104421786134</v>
      </c>
      <c r="CD178" s="177">
        <f t="shared" si="223"/>
        <v>4.1871921182266007E-2</v>
      </c>
      <c r="CE178" s="177">
        <f t="shared" si="238"/>
        <v>0.36945812807881773</v>
      </c>
      <c r="CF178" s="177">
        <f t="shared" si="224"/>
        <v>5.1320301783264743E-2</v>
      </c>
      <c r="CG178" s="177">
        <f t="shared" si="238"/>
        <v>0.4248199588477366</v>
      </c>
      <c r="CH178" s="177">
        <f t="shared" si="225"/>
        <v>4.3233082706766915E-2</v>
      </c>
      <c r="CI178" s="177">
        <f t="shared" si="238"/>
        <v>0.41541353383458646</v>
      </c>
      <c r="CJ178" s="289"/>
      <c r="CK178" s="177">
        <f t="shared" si="240"/>
        <v>4.7166490672298576E-2</v>
      </c>
      <c r="CL178" s="177">
        <f t="shared" si="241"/>
        <v>0.49544928847991154</v>
      </c>
      <c r="CM178" s="177">
        <f t="shared" si="242"/>
        <v>4.3103448275861989E-2</v>
      </c>
      <c r="CN178" s="177">
        <f t="shared" si="243"/>
        <v>0.46982758620689652</v>
      </c>
      <c r="CO178" s="429"/>
      <c r="CP178" s="177">
        <f t="shared" si="234"/>
        <v>0</v>
      </c>
      <c r="CQ178" s="226"/>
      <c r="CR178" s="226"/>
      <c r="CS178" s="226"/>
      <c r="CT178" s="226"/>
      <c r="CU178" s="226"/>
      <c r="CV178" s="226"/>
      <c r="CW178" s="226"/>
      <c r="CX178" s="226"/>
      <c r="CY178" s="226"/>
      <c r="CZ178" s="226"/>
      <c r="DA178" s="226"/>
      <c r="DB178" s="226"/>
      <c r="DC178" s="226"/>
      <c r="DD178" s="226"/>
      <c r="DE178" s="226"/>
      <c r="DF178" s="226"/>
      <c r="DG178" s="226"/>
      <c r="DH178" s="226"/>
      <c r="DI178" s="226"/>
    </row>
    <row r="179" spans="1:113" s="140" customFormat="1" x14ac:dyDescent="0.3">
      <c r="A179" s="226"/>
      <c r="B179" s="420"/>
      <c r="C179" s="226"/>
      <c r="D179" s="408">
        <v>15</v>
      </c>
      <c r="E179" s="273">
        <f t="shared" si="211"/>
        <v>44959.75</v>
      </c>
      <c r="F179" s="295">
        <f t="shared" si="212"/>
        <v>415</v>
      </c>
      <c r="G179" s="295">
        <f t="shared" si="213"/>
        <v>259</v>
      </c>
      <c r="H179" s="295">
        <f t="shared" si="214"/>
        <v>522</v>
      </c>
      <c r="I179" s="416">
        <v>427</v>
      </c>
      <c r="J179" s="416">
        <f t="shared" si="215"/>
        <v>1060</v>
      </c>
      <c r="K179" s="416"/>
      <c r="L179" s="416">
        <v>1313</v>
      </c>
      <c r="M179" s="417">
        <v>690</v>
      </c>
      <c r="N179" s="416">
        <v>422</v>
      </c>
      <c r="O179" s="226"/>
      <c r="P179" s="385"/>
      <c r="Q179" s="385"/>
      <c r="R179" s="421"/>
      <c r="S179" s="289"/>
      <c r="T179" s="289"/>
      <c r="U179" s="289"/>
      <c r="V179" s="289"/>
      <c r="W179" s="289"/>
      <c r="X179" s="289"/>
      <c r="Y179" s="89"/>
      <c r="Z179" s="289"/>
      <c r="AA179" s="289"/>
      <c r="AB179" s="422"/>
      <c r="AC179" s="441"/>
      <c r="AD179" s="432"/>
      <c r="AE179" s="422"/>
      <c r="AF179" s="134"/>
      <c r="AG179" s="134"/>
      <c r="AH179" s="132"/>
      <c r="AI179" s="93"/>
      <c r="AJ179" s="132"/>
      <c r="AK179" s="93"/>
      <c r="AL179" s="93"/>
      <c r="AM179" s="93"/>
      <c r="AN179" s="93"/>
      <c r="AO179" s="93"/>
      <c r="AP179" s="422"/>
      <c r="AQ179" s="93"/>
      <c r="AR179" s="439"/>
      <c r="AS179" s="93"/>
      <c r="AT179" s="422"/>
      <c r="AU179" s="290"/>
      <c r="AV179" s="439"/>
      <c r="AW179" s="93"/>
      <c r="AX179" s="422"/>
      <c r="AY179" s="289">
        <v>17</v>
      </c>
      <c r="AZ179" s="289"/>
      <c r="BA179" s="289"/>
      <c r="BB179" s="289"/>
      <c r="BC179" s="289"/>
      <c r="BD179" s="177">
        <f t="shared" si="216"/>
        <v>6.7988960821232361E-2</v>
      </c>
      <c r="BE179" s="177">
        <f t="shared" si="226"/>
        <v>0.58998994093523516</v>
      </c>
      <c r="BF179" s="177">
        <f t="shared" si="217"/>
        <v>7.3991031390134521E-2</v>
      </c>
      <c r="BG179" s="177">
        <f t="shared" si="227"/>
        <v>0.60986547085201792</v>
      </c>
      <c r="BH179" s="289"/>
      <c r="BI179" s="289"/>
      <c r="BJ179" s="289"/>
      <c r="BK179" s="289"/>
      <c r="BL179" s="177">
        <f t="shared" si="218"/>
        <v>4.0964796106374206E-2</v>
      </c>
      <c r="BM179" s="177">
        <f t="shared" si="228"/>
        <v>0.56093823539069421</v>
      </c>
      <c r="BN179" s="177">
        <f t="shared" si="219"/>
        <v>2.210884353741497E-2</v>
      </c>
      <c r="BO179" s="177">
        <f t="shared" si="229"/>
        <v>0.57823129251700678</v>
      </c>
      <c r="BP179" s="289"/>
      <c r="BQ179" s="289"/>
      <c r="BR179" s="289"/>
      <c r="BS179" s="289"/>
      <c r="BT179" s="177">
        <f t="shared" si="220"/>
        <v>4.2830571959989377E-2</v>
      </c>
      <c r="BU179" s="177">
        <f t="shared" si="235"/>
        <v>0.64920415877396742</v>
      </c>
      <c r="BV179" s="177">
        <f t="shared" si="221"/>
        <v>4.1871921182266014E-2</v>
      </c>
      <c r="BW179" s="177">
        <f t="shared" si="236"/>
        <v>0.65517241379310354</v>
      </c>
      <c r="BX179" s="177">
        <f t="shared" si="237"/>
        <v>4.6001523229246007E-2</v>
      </c>
      <c r="BY179" s="177">
        <f t="shared" si="238"/>
        <v>0.50984386900228484</v>
      </c>
      <c r="BZ179" s="177">
        <f t="shared" si="239"/>
        <v>5.0724637681159424E-2</v>
      </c>
      <c r="CA179" s="177">
        <f t="shared" si="238"/>
        <v>0.51811594202898559</v>
      </c>
      <c r="CB179" s="177">
        <f t="shared" si="222"/>
        <v>8.6898601219449714E-2</v>
      </c>
      <c r="CC179" s="177">
        <f t="shared" si="238"/>
        <v>0.42275964543731104</v>
      </c>
      <c r="CD179" s="177">
        <f t="shared" si="223"/>
        <v>0.10591133004926108</v>
      </c>
      <c r="CE179" s="177">
        <f t="shared" si="238"/>
        <v>0.47536945812807879</v>
      </c>
      <c r="CF179" s="177">
        <f t="shared" si="224"/>
        <v>5.2254801097393687E-2</v>
      </c>
      <c r="CG179" s="177">
        <f t="shared" si="238"/>
        <v>0.47707475994513027</v>
      </c>
      <c r="CH179" s="177">
        <f t="shared" si="225"/>
        <v>4.8872180451127817E-2</v>
      </c>
      <c r="CI179" s="177">
        <f t="shared" si="238"/>
        <v>0.4642857142857143</v>
      </c>
      <c r="CJ179" s="289"/>
      <c r="CK179" s="177">
        <f t="shared" si="240"/>
        <v>4.4300296676220534E-2</v>
      </c>
      <c r="CL179" s="177">
        <f t="shared" si="241"/>
        <v>0.53974958515613203</v>
      </c>
      <c r="CM179" s="177">
        <f t="shared" si="242"/>
        <v>3.8793103448275877E-2</v>
      </c>
      <c r="CN179" s="177">
        <f t="shared" si="243"/>
        <v>0.50862068965517238</v>
      </c>
      <c r="CO179" s="429"/>
      <c r="CP179" s="177">
        <f t="shared" si="234"/>
        <v>0</v>
      </c>
      <c r="CQ179" s="226"/>
      <c r="CR179" s="226"/>
      <c r="CS179" s="226"/>
      <c r="CT179" s="226"/>
      <c r="CU179" s="226"/>
      <c r="CV179" s="226"/>
      <c r="CW179" s="226"/>
      <c r="CX179" s="226"/>
      <c r="CY179" s="226"/>
      <c r="CZ179" s="226"/>
      <c r="DA179" s="226"/>
      <c r="DB179" s="226"/>
      <c r="DC179" s="226"/>
      <c r="DD179" s="226"/>
      <c r="DE179" s="226"/>
      <c r="DF179" s="226"/>
      <c r="DG179" s="226"/>
      <c r="DH179" s="226"/>
      <c r="DI179" s="226"/>
    </row>
    <row r="180" spans="1:113" s="140" customFormat="1" x14ac:dyDescent="0.3">
      <c r="A180" s="226"/>
      <c r="B180" s="420"/>
      <c r="C180" s="226"/>
      <c r="D180" s="408">
        <v>16</v>
      </c>
      <c r="E180" s="273">
        <f t="shared" si="211"/>
        <v>44960.75</v>
      </c>
      <c r="F180" s="295">
        <f t="shared" si="212"/>
        <v>438</v>
      </c>
      <c r="G180" s="295">
        <f t="shared" si="213"/>
        <v>266</v>
      </c>
      <c r="H180" s="295">
        <f t="shared" si="214"/>
        <v>548</v>
      </c>
      <c r="I180" s="416">
        <v>444</v>
      </c>
      <c r="J180" s="416">
        <f t="shared" si="215"/>
        <v>1096</v>
      </c>
      <c r="K180" s="416"/>
      <c r="L180" s="416">
        <v>1350</v>
      </c>
      <c r="M180" s="417">
        <v>729</v>
      </c>
      <c r="N180" s="416">
        <v>445</v>
      </c>
      <c r="O180" s="226"/>
      <c r="P180" s="385"/>
      <c r="Q180" s="385"/>
      <c r="R180" s="421"/>
      <c r="S180" s="289"/>
      <c r="T180" s="289"/>
      <c r="U180" s="289"/>
      <c r="V180" s="289"/>
      <c r="W180" s="289"/>
      <c r="X180" s="289"/>
      <c r="Y180" s="89"/>
      <c r="Z180" s="289"/>
      <c r="AA180" s="289"/>
      <c r="AB180" s="422"/>
      <c r="AC180" s="441"/>
      <c r="AD180" s="432"/>
      <c r="AE180" s="422"/>
      <c r="AF180" s="134"/>
      <c r="AG180" s="134"/>
      <c r="AH180" s="132"/>
      <c r="AI180" s="93"/>
      <c r="AJ180" s="132"/>
      <c r="AK180" s="93"/>
      <c r="AL180" s="93"/>
      <c r="AM180" s="93"/>
      <c r="AN180" s="93"/>
      <c r="AO180" s="93"/>
      <c r="AP180" s="422"/>
      <c r="AQ180" s="93"/>
      <c r="AR180" s="439"/>
      <c r="AS180" s="93"/>
      <c r="AT180" s="422"/>
      <c r="AU180" s="290"/>
      <c r="AV180" s="439"/>
      <c r="AW180" s="93"/>
      <c r="AX180" s="422"/>
      <c r="AY180" s="289">
        <v>18</v>
      </c>
      <c r="AZ180" s="289"/>
      <c r="BA180" s="289"/>
      <c r="BB180" s="289"/>
      <c r="BC180" s="289"/>
      <c r="BD180" s="177">
        <f t="shared" si="216"/>
        <v>4.0636042402826845E-2</v>
      </c>
      <c r="BE180" s="177">
        <f t="shared" si="226"/>
        <v>0.63062598333806197</v>
      </c>
      <c r="BF180" s="177">
        <f t="shared" si="217"/>
        <v>4.4843049327354258E-2</v>
      </c>
      <c r="BG180" s="177">
        <f t="shared" si="227"/>
        <v>0.6547085201793722</v>
      </c>
      <c r="BH180" s="289"/>
      <c r="BI180" s="289"/>
      <c r="BJ180" s="289"/>
      <c r="BK180" s="289"/>
      <c r="BL180" s="177">
        <f t="shared" si="218"/>
        <v>4.355519557515989E-2</v>
      </c>
      <c r="BM180" s="177">
        <f t="shared" si="228"/>
        <v>0.60449343096585406</v>
      </c>
      <c r="BN180" s="177">
        <f t="shared" si="219"/>
        <v>4.2517006802721094E-2</v>
      </c>
      <c r="BO180" s="177">
        <f t="shared" si="229"/>
        <v>0.62074829931972786</v>
      </c>
      <c r="BP180" s="289"/>
      <c r="BQ180" s="289"/>
      <c r="BR180" s="289"/>
      <c r="BS180" s="289"/>
      <c r="BT180" s="177">
        <f t="shared" si="220"/>
        <v>4.163916721665567E-2</v>
      </c>
      <c r="BU180" s="177">
        <f t="shared" si="235"/>
        <v>0.69084332599062304</v>
      </c>
      <c r="BV180" s="177">
        <f t="shared" si="221"/>
        <v>4.3103448275862079E-2</v>
      </c>
      <c r="BW180" s="177">
        <f t="shared" si="236"/>
        <v>0.69827586206896564</v>
      </c>
      <c r="BX180" s="177">
        <f t="shared" si="237"/>
        <v>4.7429550647372427E-2</v>
      </c>
      <c r="BY180" s="177">
        <f t="shared" si="238"/>
        <v>0.55727341964965726</v>
      </c>
      <c r="BZ180" s="177">
        <f t="shared" si="239"/>
        <v>5.0724637681159424E-2</v>
      </c>
      <c r="CA180" s="177">
        <f t="shared" si="238"/>
        <v>0.56884057971014501</v>
      </c>
      <c r="CB180" s="177">
        <f t="shared" si="222"/>
        <v>6.5852846236614235E-2</v>
      </c>
      <c r="CC180" s="177">
        <f t="shared" si="238"/>
        <v>0.48861249167392529</v>
      </c>
      <c r="CD180" s="177">
        <f t="shared" si="223"/>
        <v>6.6502463054187194E-2</v>
      </c>
      <c r="CE180" s="177">
        <f t="shared" si="238"/>
        <v>0.54187192118226601</v>
      </c>
      <c r="CF180" s="177">
        <f t="shared" si="224"/>
        <v>5.0351508916323728E-2</v>
      </c>
      <c r="CG180" s="177">
        <f t="shared" si="238"/>
        <v>0.52742626886145394</v>
      </c>
      <c r="CH180" s="177">
        <f t="shared" si="225"/>
        <v>5.6390977443609019E-2</v>
      </c>
      <c r="CI180" s="177">
        <f t="shared" si="238"/>
        <v>0.52067669172932329</v>
      </c>
      <c r="CJ180" s="289"/>
      <c r="CK180" s="177">
        <f t="shared" si="240"/>
        <v>6.592246190979037E-2</v>
      </c>
      <c r="CL180" s="177">
        <f t="shared" si="241"/>
        <v>0.60567204706592237</v>
      </c>
      <c r="CM180" s="177">
        <f t="shared" si="242"/>
        <v>7.3275862068965469E-2</v>
      </c>
      <c r="CN180" s="177">
        <f t="shared" si="243"/>
        <v>0.5818965517241379</v>
      </c>
      <c r="CO180" s="429"/>
      <c r="CP180" s="177">
        <f t="shared" si="234"/>
        <v>0</v>
      </c>
      <c r="CQ180" s="226"/>
      <c r="CR180" s="226"/>
      <c r="CS180" s="226"/>
      <c r="CT180" s="226"/>
      <c r="CU180" s="226"/>
      <c r="CV180" s="226"/>
      <c r="CW180" s="226"/>
      <c r="CX180" s="226"/>
      <c r="CY180" s="226"/>
      <c r="CZ180" s="226"/>
      <c r="DA180" s="226"/>
      <c r="DB180" s="226"/>
      <c r="DC180" s="226"/>
      <c r="DD180" s="226"/>
      <c r="DE180" s="226"/>
      <c r="DF180" s="226"/>
      <c r="DG180" s="226"/>
      <c r="DH180" s="226"/>
      <c r="DI180" s="226"/>
    </row>
    <row r="181" spans="1:113" s="140" customFormat="1" x14ac:dyDescent="0.3">
      <c r="A181" s="226"/>
      <c r="B181" s="420"/>
      <c r="C181" s="226"/>
      <c r="D181" s="408">
        <v>17</v>
      </c>
      <c r="E181" s="273">
        <f t="shared" si="211"/>
        <v>44961.75</v>
      </c>
      <c r="F181" s="295">
        <f t="shared" si="212"/>
        <v>471</v>
      </c>
      <c r="G181" s="295">
        <f t="shared" si="213"/>
        <v>274</v>
      </c>
      <c r="H181" s="295">
        <f t="shared" si="214"/>
        <v>572</v>
      </c>
      <c r="I181" s="416">
        <v>487</v>
      </c>
      <c r="J181" s="416">
        <f t="shared" si="215"/>
        <v>1134</v>
      </c>
      <c r="K181" s="416"/>
      <c r="L181" s="416">
        <v>1384</v>
      </c>
      <c r="M181" s="417">
        <v>757</v>
      </c>
      <c r="N181" s="416">
        <v>471</v>
      </c>
      <c r="O181" s="226"/>
      <c r="P181" s="385"/>
      <c r="Q181" s="385"/>
      <c r="R181" s="421"/>
      <c r="S181" s="289"/>
      <c r="T181" s="289"/>
      <c r="U181" s="289"/>
      <c r="V181" s="289"/>
      <c r="W181" s="289"/>
      <c r="X181" s="289"/>
      <c r="Y181" s="89"/>
      <c r="Z181" s="289"/>
      <c r="AA181" s="89"/>
      <c r="AB181" s="289"/>
      <c r="AC181" s="89"/>
      <c r="AD181" s="289"/>
      <c r="AE181" s="89"/>
      <c r="AF181" s="289"/>
      <c r="AG181" s="89"/>
      <c r="AH181" s="289"/>
      <c r="AI181" s="89"/>
      <c r="AJ181" s="289"/>
      <c r="AK181" s="89"/>
      <c r="AL181" s="89"/>
      <c r="AM181" s="89"/>
      <c r="AN181" s="89"/>
      <c r="AO181" s="89"/>
      <c r="AP181" s="289"/>
      <c r="AQ181" s="89"/>
      <c r="AR181" s="289"/>
      <c r="AS181" s="89"/>
      <c r="AT181" s="289"/>
      <c r="AU181" s="89"/>
      <c r="AV181" s="289"/>
      <c r="AW181" s="89"/>
      <c r="AX181" s="422"/>
      <c r="AY181" s="289">
        <v>19</v>
      </c>
      <c r="AZ181" s="289"/>
      <c r="BA181" s="289"/>
      <c r="BB181" s="289"/>
      <c r="BC181" s="289"/>
      <c r="BD181" s="177">
        <f t="shared" si="216"/>
        <v>5.8123339609501945E-2</v>
      </c>
      <c r="BE181" s="177">
        <f t="shared" si="226"/>
        <v>0.68874932294756386</v>
      </c>
      <c r="BF181" s="177">
        <f t="shared" si="217"/>
        <v>6.2780269058295951E-2</v>
      </c>
      <c r="BG181" s="177">
        <f t="shared" si="227"/>
        <v>0.71748878923766812</v>
      </c>
      <c r="BH181" s="289"/>
      <c r="BI181" s="289"/>
      <c r="BJ181" s="289"/>
      <c r="BK181" s="289"/>
      <c r="BL181" s="177">
        <f t="shared" si="218"/>
        <v>6.8623695223084466E-2</v>
      </c>
      <c r="BM181" s="177">
        <f t="shared" si="228"/>
        <v>0.67311712618893849</v>
      </c>
      <c r="BN181" s="177">
        <f t="shared" si="219"/>
        <v>6.8027210884353748E-2</v>
      </c>
      <c r="BO181" s="177">
        <f t="shared" si="229"/>
        <v>0.68877551020408156</v>
      </c>
      <c r="BP181" s="289"/>
      <c r="BQ181" s="289"/>
      <c r="BR181" s="289"/>
      <c r="BS181" s="289"/>
      <c r="BT181" s="177">
        <f t="shared" si="220"/>
        <v>7.7715588545371958E-2</v>
      </c>
      <c r="BU181" s="177">
        <f t="shared" si="235"/>
        <v>0.76855891453599501</v>
      </c>
      <c r="BV181" s="177">
        <f t="shared" si="221"/>
        <v>7.8817733990147798E-2</v>
      </c>
      <c r="BW181" s="177">
        <f t="shared" si="236"/>
        <v>0.77709359605911343</v>
      </c>
      <c r="BX181" s="177">
        <f t="shared" si="237"/>
        <v>8.9185072353389183E-2</v>
      </c>
      <c r="BY181" s="177">
        <f t="shared" si="238"/>
        <v>0.6464584920030465</v>
      </c>
      <c r="BZ181" s="177">
        <f t="shared" si="239"/>
        <v>8.6956521739130446E-2</v>
      </c>
      <c r="CA181" s="177">
        <f t="shared" si="238"/>
        <v>0.6557971014492755</v>
      </c>
      <c r="CB181" s="177">
        <f t="shared" si="222"/>
        <v>0.11779474304452529</v>
      </c>
      <c r="CC181" s="177">
        <f t="shared" si="238"/>
        <v>0.60640723471845059</v>
      </c>
      <c r="CD181" s="177">
        <f t="shared" si="223"/>
        <v>8.6206896551724144E-2</v>
      </c>
      <c r="CE181" s="177">
        <f t="shared" si="238"/>
        <v>0.62807881773399021</v>
      </c>
      <c r="CF181" s="177">
        <f t="shared" si="224"/>
        <v>6.9633058984910845E-2</v>
      </c>
      <c r="CG181" s="177">
        <f t="shared" si="238"/>
        <v>0.59705932784636473</v>
      </c>
      <c r="CH181" s="177">
        <f t="shared" si="225"/>
        <v>6.7669172932330823E-2</v>
      </c>
      <c r="CI181" s="177">
        <f t="shared" si="238"/>
        <v>0.58834586466165417</v>
      </c>
      <c r="CJ181" s="289"/>
      <c r="CK181" s="177">
        <f t="shared" si="240"/>
        <v>7.3289083320762366E-2</v>
      </c>
      <c r="CL181" s="177">
        <f t="shared" si="241"/>
        <v>0.67896113038668471</v>
      </c>
      <c r="CM181" s="177">
        <f t="shared" si="242"/>
        <v>7.3275862068965469E-2</v>
      </c>
      <c r="CN181" s="177">
        <f t="shared" si="243"/>
        <v>0.65517241379310343</v>
      </c>
      <c r="CO181" s="429"/>
      <c r="CP181" s="177">
        <f t="shared" si="234"/>
        <v>0</v>
      </c>
      <c r="CQ181" s="226"/>
      <c r="CR181" s="226"/>
      <c r="CS181" s="226"/>
      <c r="CT181" s="226"/>
      <c r="CU181" s="226"/>
      <c r="CV181" s="226"/>
      <c r="CW181" s="226"/>
      <c r="CX181" s="226"/>
      <c r="CY181" s="226"/>
      <c r="CZ181" s="226"/>
      <c r="DA181" s="226"/>
      <c r="DB181" s="226"/>
      <c r="DC181" s="226"/>
      <c r="DD181" s="226"/>
      <c r="DE181" s="226"/>
      <c r="DF181" s="226"/>
      <c r="DG181" s="226"/>
      <c r="DH181" s="226"/>
      <c r="DI181" s="226"/>
    </row>
    <row r="182" spans="1:113" s="140" customFormat="1" x14ac:dyDescent="0.3">
      <c r="A182" s="226"/>
      <c r="B182" s="420"/>
      <c r="C182" s="226"/>
      <c r="D182" s="408">
        <v>18</v>
      </c>
      <c r="E182" s="273">
        <f t="shared" si="211"/>
        <v>44962.75</v>
      </c>
      <c r="F182" s="295">
        <f t="shared" si="212"/>
        <v>491</v>
      </c>
      <c r="G182" s="295">
        <f t="shared" si="213"/>
        <v>283</v>
      </c>
      <c r="H182" s="295">
        <f t="shared" si="214"/>
        <v>596</v>
      </c>
      <c r="I182" s="416">
        <v>514</v>
      </c>
      <c r="J182" s="416">
        <f t="shared" si="215"/>
        <v>1160</v>
      </c>
      <c r="K182" s="416"/>
      <c r="L182" s="416">
        <v>1419</v>
      </c>
      <c r="M182" s="417">
        <v>781</v>
      </c>
      <c r="N182" s="416">
        <v>501</v>
      </c>
      <c r="O182" s="226"/>
      <c r="P182" s="385"/>
      <c r="Q182" s="385"/>
      <c r="R182" s="421"/>
      <c r="S182" s="289"/>
      <c r="T182" s="289"/>
      <c r="U182" s="289"/>
      <c r="V182" s="289"/>
      <c r="W182" s="289"/>
      <c r="X182" s="289"/>
      <c r="Y182" s="89"/>
      <c r="Z182" s="289"/>
      <c r="AA182" s="89"/>
      <c r="AB182" s="289"/>
      <c r="AC182" s="89"/>
      <c r="AD182" s="289"/>
      <c r="AE182" s="89"/>
      <c r="AF182" s="289"/>
      <c r="AG182" s="89"/>
      <c r="AH182" s="289"/>
      <c r="AI182" s="89"/>
      <c r="AJ182" s="289"/>
      <c r="AK182" s="89"/>
      <c r="AL182" s="89"/>
      <c r="AM182" s="89"/>
      <c r="AN182" s="89"/>
      <c r="AO182" s="89"/>
      <c r="AP182" s="289"/>
      <c r="AQ182" s="89"/>
      <c r="AR182" s="289"/>
      <c r="AS182" s="89"/>
      <c r="AT182" s="289"/>
      <c r="AU182" s="89"/>
      <c r="AV182" s="289"/>
      <c r="AW182" s="89"/>
      <c r="AX182" s="422"/>
      <c r="AY182" s="289">
        <v>20</v>
      </c>
      <c r="AZ182" s="289"/>
      <c r="BA182" s="289"/>
      <c r="BB182" s="289"/>
      <c r="BC182" s="289"/>
      <c r="BD182" s="177">
        <f t="shared" si="216"/>
        <v>0.10451110365995202</v>
      </c>
      <c r="BE182" s="177">
        <f t="shared" si="226"/>
        <v>0.79326042660751583</v>
      </c>
      <c r="BF182" s="177">
        <f t="shared" si="217"/>
        <v>8.7443946188340796E-2</v>
      </c>
      <c r="BG182" s="177">
        <f t="shared" si="227"/>
        <v>0.80493273542600896</v>
      </c>
      <c r="BH182" s="289"/>
      <c r="BI182" s="289"/>
      <c r="BJ182" s="289"/>
      <c r="BK182" s="289"/>
      <c r="BL182" s="177">
        <f t="shared" si="218"/>
        <v>0.11381339637854856</v>
      </c>
      <c r="BM182" s="177">
        <f t="shared" si="228"/>
        <v>0.78693052256748708</v>
      </c>
      <c r="BN182" s="177">
        <f t="shared" si="219"/>
        <v>0.11139455782312926</v>
      </c>
      <c r="BO182" s="177">
        <f t="shared" si="229"/>
        <v>0.8001700680272108</v>
      </c>
      <c r="BP182" s="289"/>
      <c r="BQ182" s="289"/>
      <c r="BR182" s="289"/>
      <c r="BS182" s="289"/>
      <c r="BT182" s="177">
        <f t="shared" si="220"/>
        <v>7.4664221001294259E-2</v>
      </c>
      <c r="BU182" s="177">
        <f t="shared" si="235"/>
        <v>0.84322313553728923</v>
      </c>
      <c r="BV182" s="177">
        <f t="shared" si="221"/>
        <v>7.6354679802955669E-2</v>
      </c>
      <c r="BW182" s="177">
        <f t="shared" si="236"/>
        <v>0.85344827586206906</v>
      </c>
      <c r="BX182" s="177">
        <f t="shared" si="237"/>
        <v>0.14394516374714394</v>
      </c>
      <c r="BY182" s="177">
        <f t="shared" si="238"/>
        <v>0.79040365575019045</v>
      </c>
      <c r="BZ182" s="177">
        <f t="shared" si="239"/>
        <v>0.14130434782608697</v>
      </c>
      <c r="CA182" s="177">
        <f t="shared" si="238"/>
        <v>0.79710144927536253</v>
      </c>
      <c r="CB182" s="177">
        <f t="shared" si="222"/>
        <v>9.8529487113798234E-2</v>
      </c>
      <c r="CC182" s="177">
        <f t="shared" si="238"/>
        <v>0.70493672183224887</v>
      </c>
      <c r="CD182" s="177">
        <f t="shared" si="223"/>
        <v>8.6206896551724144E-2</v>
      </c>
      <c r="CE182" s="177">
        <f t="shared" si="238"/>
        <v>0.71428571428571441</v>
      </c>
      <c r="CF182" s="177">
        <f t="shared" si="224"/>
        <v>5.8144718792866944E-2</v>
      </c>
      <c r="CG182" s="177">
        <f t="shared" si="238"/>
        <v>0.65520404663923171</v>
      </c>
      <c r="CH182" s="177">
        <f t="shared" si="225"/>
        <v>7.3308270676691725E-2</v>
      </c>
      <c r="CI182" s="177">
        <f t="shared" si="238"/>
        <v>0.66165413533834594</v>
      </c>
      <c r="CJ182" s="289"/>
      <c r="CK182" s="177">
        <f t="shared" si="240"/>
        <v>0.12661537687936833</v>
      </c>
      <c r="CL182" s="177">
        <f t="shared" si="241"/>
        <v>0.80557650726605301</v>
      </c>
      <c r="CM182" s="177">
        <f t="shared" si="242"/>
        <v>0.14224137931034481</v>
      </c>
      <c r="CN182" s="177">
        <f t="shared" si="243"/>
        <v>0.79741379310344818</v>
      </c>
      <c r="CO182" s="429"/>
      <c r="CP182" s="177">
        <f t="shared" si="234"/>
        <v>0</v>
      </c>
      <c r="CQ182" s="226"/>
      <c r="CR182" s="226"/>
      <c r="CS182" s="226"/>
      <c r="CT182" s="226"/>
      <c r="CU182" s="226"/>
      <c r="CV182" s="226"/>
      <c r="CW182" s="226"/>
      <c r="CX182" s="226"/>
      <c r="CY182" s="226"/>
      <c r="CZ182" s="226"/>
      <c r="DA182" s="226"/>
      <c r="DB182" s="226"/>
      <c r="DC182" s="226"/>
      <c r="DD182" s="226"/>
      <c r="DE182" s="226"/>
      <c r="DF182" s="226"/>
      <c r="DG182" s="226"/>
      <c r="DH182" s="226"/>
      <c r="DI182" s="226"/>
    </row>
    <row r="183" spans="1:113" s="140" customFormat="1" x14ac:dyDescent="0.3">
      <c r="A183" s="226"/>
      <c r="B183" s="420"/>
      <c r="C183" s="226"/>
      <c r="D183" s="408">
        <v>19</v>
      </c>
      <c r="E183" s="273">
        <f t="shared" si="211"/>
        <v>44963.75</v>
      </c>
      <c r="F183" s="295">
        <f t="shared" si="212"/>
        <v>519</v>
      </c>
      <c r="G183" s="295">
        <f t="shared" si="213"/>
        <v>294</v>
      </c>
      <c r="H183" s="295">
        <f t="shared" si="214"/>
        <v>641</v>
      </c>
      <c r="I183" s="416">
        <v>549</v>
      </c>
      <c r="J183" s="416">
        <f t="shared" si="215"/>
        <v>1210</v>
      </c>
      <c r="K183" s="416"/>
      <c r="L183" s="416">
        <v>1483</v>
      </c>
      <c r="M183" s="417">
        <v>827</v>
      </c>
      <c r="N183" s="416">
        <v>537</v>
      </c>
      <c r="O183" s="226"/>
      <c r="P183" s="385"/>
      <c r="Q183" s="385"/>
      <c r="R183" s="421"/>
      <c r="S183" s="289"/>
      <c r="T183" s="289"/>
      <c r="U183" s="289"/>
      <c r="V183" s="289"/>
      <c r="W183" s="289"/>
      <c r="X183" s="289"/>
      <c r="Y183" s="89"/>
      <c r="Z183" s="289"/>
      <c r="AA183" s="89"/>
      <c r="AB183" s="289"/>
      <c r="AC183" s="89"/>
      <c r="AD183" s="289"/>
      <c r="AE183" s="89"/>
      <c r="AF183" s="289"/>
      <c r="AG183" s="89"/>
      <c r="AH183" s="289"/>
      <c r="AI183" s="89"/>
      <c r="AJ183" s="289"/>
      <c r="AK183" s="89"/>
      <c r="AL183" s="89"/>
      <c r="AM183" s="89"/>
      <c r="AN183" s="89"/>
      <c r="AO183" s="89"/>
      <c r="AP183" s="289"/>
      <c r="AQ183" s="89"/>
      <c r="AR183" s="289"/>
      <c r="AS183" s="89"/>
      <c r="AT183" s="289"/>
      <c r="AU183" s="89"/>
      <c r="AV183" s="289"/>
      <c r="AW183" s="89"/>
      <c r="AX183" s="422"/>
      <c r="AY183" s="289">
        <v>21</v>
      </c>
      <c r="AZ183" s="289"/>
      <c r="BA183" s="289"/>
      <c r="BB183" s="289"/>
      <c r="BC183" s="289"/>
      <c r="BD183" s="177">
        <f t="shared" si="216"/>
        <v>0.20673957339248406</v>
      </c>
      <c r="BE183" s="177">
        <f t="shared" si="226"/>
        <v>0.99999999999999989</v>
      </c>
      <c r="BF183" s="177">
        <f t="shared" si="217"/>
        <v>0.19506726457399104</v>
      </c>
      <c r="BG183" s="177">
        <f t="shared" si="227"/>
        <v>1</v>
      </c>
      <c r="BH183" s="289"/>
      <c r="BI183" s="289"/>
      <c r="BJ183" s="289"/>
      <c r="BK183" s="289"/>
      <c r="BL183" s="177">
        <f t="shared" si="218"/>
        <v>0.21306947743251278</v>
      </c>
      <c r="BM183" s="177">
        <f t="shared" si="228"/>
        <v>0.99999999999999989</v>
      </c>
      <c r="BN183" s="177">
        <f t="shared" si="219"/>
        <v>0.19982993197278912</v>
      </c>
      <c r="BO183" s="177">
        <f t="shared" si="229"/>
        <v>0.99999999999999989</v>
      </c>
      <c r="BP183" s="289"/>
      <c r="BQ183" s="289"/>
      <c r="BR183" s="289"/>
      <c r="BS183" s="289"/>
      <c r="BT183" s="177">
        <f t="shared" si="220"/>
        <v>0.15677686446271077</v>
      </c>
      <c r="BU183" s="177">
        <f t="shared" si="235"/>
        <v>1</v>
      </c>
      <c r="BV183" s="177">
        <f t="shared" si="221"/>
        <v>0.14655172413793105</v>
      </c>
      <c r="BW183" s="177">
        <f t="shared" si="236"/>
        <v>1</v>
      </c>
      <c r="BX183" s="177">
        <f t="shared" si="237"/>
        <v>0.20959634424980961</v>
      </c>
      <c r="BY183" s="177">
        <f t="shared" si="238"/>
        <v>1</v>
      </c>
      <c r="BZ183" s="177">
        <f t="shared" si="239"/>
        <v>0.20289855072463769</v>
      </c>
      <c r="CA183" s="177">
        <f t="shared" si="238"/>
        <v>1.0000000000000002</v>
      </c>
      <c r="CB183" s="177">
        <f t="shared" si="222"/>
        <v>0.18546651637034381</v>
      </c>
      <c r="CC183" s="177">
        <f t="shared" si="238"/>
        <v>0.89040323820259271</v>
      </c>
      <c r="CD183" s="177">
        <f t="shared" si="223"/>
        <v>0.17241379310344829</v>
      </c>
      <c r="CE183" s="177">
        <f t="shared" si="238"/>
        <v>0.8866995073891627</v>
      </c>
      <c r="CF183" s="177">
        <f t="shared" si="224"/>
        <v>0.34479595336076813</v>
      </c>
      <c r="CG183" s="177">
        <f t="shared" si="238"/>
        <v>0.99999999999999978</v>
      </c>
      <c r="CH183" s="177">
        <f t="shared" si="225"/>
        <v>0.33834586466165412</v>
      </c>
      <c r="CI183" s="177">
        <f t="shared" si="238"/>
        <v>1</v>
      </c>
      <c r="CJ183" s="289"/>
      <c r="CK183" s="177">
        <f t="shared" si="240"/>
        <v>0.19442349273394688</v>
      </c>
      <c r="CL183" s="177">
        <f t="shared" si="241"/>
        <v>0.99999999999999989</v>
      </c>
      <c r="CM183" s="177">
        <f t="shared" si="242"/>
        <v>0.20258620689655177</v>
      </c>
      <c r="CN183" s="177">
        <f t="shared" si="243"/>
        <v>1</v>
      </c>
      <c r="CO183" s="429"/>
      <c r="CP183" s="289"/>
      <c r="CQ183" s="226"/>
      <c r="CR183" s="226"/>
      <c r="CS183" s="226"/>
      <c r="CT183" s="226"/>
      <c r="CU183" s="226"/>
      <c r="CV183" s="226"/>
      <c r="CW183" s="226"/>
      <c r="CX183" s="226"/>
      <c r="CY183" s="226"/>
      <c r="CZ183" s="226"/>
      <c r="DA183" s="226"/>
      <c r="DB183" s="226"/>
      <c r="DC183" s="226"/>
      <c r="DD183" s="226"/>
      <c r="DE183" s="226"/>
      <c r="DF183" s="226"/>
      <c r="DG183" s="226"/>
      <c r="DH183" s="226"/>
      <c r="DI183" s="226"/>
    </row>
    <row r="184" spans="1:113" s="140" customFormat="1" x14ac:dyDescent="0.3">
      <c r="A184" s="226"/>
      <c r="B184" s="420"/>
      <c r="C184" s="226"/>
      <c r="D184" s="408">
        <v>20</v>
      </c>
      <c r="E184" s="273">
        <f t="shared" si="211"/>
        <v>44964.75</v>
      </c>
      <c r="F184" s="295">
        <f t="shared" si="212"/>
        <v>558</v>
      </c>
      <c r="G184" s="295">
        <f t="shared" si="213"/>
        <v>306</v>
      </c>
      <c r="H184" s="295">
        <f t="shared" si="214"/>
        <v>684</v>
      </c>
      <c r="I184" s="416">
        <v>584</v>
      </c>
      <c r="J184" s="416">
        <f t="shared" si="215"/>
        <v>1290</v>
      </c>
      <c r="K184" s="416"/>
      <c r="L184" s="416">
        <v>1545</v>
      </c>
      <c r="M184" s="417">
        <v>863</v>
      </c>
      <c r="N184" s="416">
        <v>576</v>
      </c>
      <c r="O184" s="226"/>
      <c r="P184" s="385"/>
      <c r="Q184" s="385"/>
      <c r="R184" s="421"/>
      <c r="S184" s="289"/>
      <c r="T184" s="289"/>
      <c r="U184" s="289"/>
      <c r="V184" s="289"/>
      <c r="W184" s="289"/>
      <c r="X184" s="289"/>
      <c r="Y184" s="89"/>
      <c r="Z184" s="289"/>
      <c r="AA184" s="89"/>
      <c r="AB184" s="289"/>
      <c r="AC184" s="89"/>
      <c r="AD184" s="289"/>
      <c r="AE184" s="89"/>
      <c r="AF184" s="289"/>
      <c r="AG184" s="89"/>
      <c r="AH184" s="289"/>
      <c r="AI184" s="89"/>
      <c r="AJ184" s="289"/>
      <c r="AK184" s="89"/>
      <c r="AL184" s="89"/>
      <c r="AM184" s="89"/>
      <c r="AN184" s="89"/>
      <c r="AO184" s="89"/>
      <c r="AP184" s="289"/>
      <c r="AQ184" s="89"/>
      <c r="AR184" s="289"/>
      <c r="AS184" s="89"/>
      <c r="AT184" s="289"/>
      <c r="AU184" s="89"/>
      <c r="AV184" s="289"/>
      <c r="AW184" s="89"/>
      <c r="AX184" s="422"/>
      <c r="AY184" s="289"/>
      <c r="AZ184" s="289"/>
      <c r="BA184" s="289"/>
      <c r="BB184" s="289"/>
      <c r="BC184" s="289"/>
      <c r="BD184" s="177">
        <f>SUM(BD169:BD171)</f>
        <v>0.19223130690464518</v>
      </c>
      <c r="BE184" s="289"/>
      <c r="BF184" s="177">
        <f>SUM(BF169:BF171)</f>
        <v>0.18609865470852016</v>
      </c>
      <c r="BG184" s="290"/>
      <c r="BH184" s="289"/>
      <c r="BI184" s="289"/>
      <c r="BJ184" s="289"/>
      <c r="BK184" s="289"/>
      <c r="BL184" s="177">
        <f>SUM(BL169:BL171)</f>
        <v>0.16068868141370138</v>
      </c>
      <c r="BM184" s="289"/>
      <c r="BN184" s="177">
        <f>SUM(BN169:BN171)</f>
        <v>0.16921768707482995</v>
      </c>
      <c r="BO184" s="290"/>
      <c r="BP184" s="289"/>
      <c r="BQ184" s="289"/>
      <c r="BR184" s="289"/>
      <c r="BS184" s="289"/>
      <c r="BT184" s="177">
        <f>SUM(BT169:BT171)</f>
        <v>0.19755890596473785</v>
      </c>
      <c r="BU184" s="289"/>
      <c r="BV184" s="177">
        <f>SUM(BV169:BV171)</f>
        <v>0.19581280788177344</v>
      </c>
      <c r="BW184" s="290"/>
      <c r="BX184" s="177">
        <f>SUM(BX169:BX171)</f>
        <v>0.16165270373191165</v>
      </c>
      <c r="BY184" s="289"/>
      <c r="BZ184" s="177">
        <f>SUM(BZ169:BZ171)</f>
        <v>0.17028985507246377</v>
      </c>
      <c r="CA184" s="290"/>
      <c r="CB184" s="177">
        <f>SUM(CB169:CB171)</f>
        <v>0.12131731311164626</v>
      </c>
      <c r="CC184" s="289"/>
      <c r="CD184" s="177">
        <f>SUM(CD169:CD171)</f>
        <v>0.13793103448275862</v>
      </c>
      <c r="CE184" s="290"/>
      <c r="CF184" s="177">
        <f>SUM(CF169:CF171)</f>
        <v>9.815672153635116E-2</v>
      </c>
      <c r="CG184" s="289"/>
      <c r="CH184" s="177">
        <f>SUM(CH169:CH171)</f>
        <v>0.10338345864661654</v>
      </c>
      <c r="CI184" s="290"/>
      <c r="CJ184" s="289"/>
      <c r="CK184" s="177">
        <f>SUM(CK169:CK171)</f>
        <v>0.13317745260723088</v>
      </c>
      <c r="CL184" s="289"/>
      <c r="CM184" s="177">
        <f>SUM(CM169:CM171)</f>
        <v>0.11637931034482762</v>
      </c>
      <c r="CN184" s="290"/>
      <c r="CO184" s="429"/>
      <c r="CP184" s="289"/>
      <c r="CQ184" s="226"/>
      <c r="CR184" s="226"/>
      <c r="CS184" s="226"/>
      <c r="CT184" s="226"/>
      <c r="CU184" s="226"/>
      <c r="CV184" s="226"/>
      <c r="CW184" s="226"/>
      <c r="CX184" s="226"/>
      <c r="CY184" s="226"/>
      <c r="CZ184" s="226"/>
      <c r="DA184" s="226"/>
      <c r="DB184" s="226"/>
      <c r="DC184" s="226"/>
      <c r="DD184" s="226"/>
      <c r="DE184" s="226"/>
      <c r="DF184" s="226"/>
      <c r="DG184" s="226"/>
      <c r="DH184" s="226"/>
      <c r="DI184" s="226"/>
    </row>
    <row r="185" spans="1:113" s="2" customFormat="1" x14ac:dyDescent="0.3">
      <c r="A185" s="204"/>
      <c r="B185" s="204"/>
      <c r="C185" s="204"/>
      <c r="D185" s="408">
        <v>21</v>
      </c>
      <c r="E185" s="273">
        <f t="shared" si="211"/>
        <v>44965.75</v>
      </c>
      <c r="F185" s="391">
        <f t="shared" si="212"/>
        <v>645</v>
      </c>
      <c r="G185" s="354">
        <f t="shared" si="213"/>
        <v>361</v>
      </c>
      <c r="H185" s="295">
        <f t="shared" si="214"/>
        <v>767</v>
      </c>
      <c r="I185" s="412">
        <v>656</v>
      </c>
      <c r="J185" s="358">
        <f t="shared" si="215"/>
        <v>1421</v>
      </c>
      <c r="K185" s="356">
        <v>1572</v>
      </c>
      <c r="L185" s="357">
        <v>1664</v>
      </c>
      <c r="M185" s="418">
        <v>972</v>
      </c>
      <c r="N185" s="355">
        <v>756</v>
      </c>
      <c r="O185" s="204"/>
      <c r="P185" s="388"/>
      <c r="Q185" s="388"/>
      <c r="R185" s="191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59"/>
      <c r="AT185" s="43"/>
      <c r="AU185" s="43"/>
      <c r="AV185" s="43"/>
      <c r="AW185" s="59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204"/>
      <c r="CR185" s="204"/>
      <c r="CS185" s="204"/>
      <c r="CT185" s="204"/>
      <c r="CU185" s="204"/>
      <c r="CV185" s="204"/>
      <c r="CW185" s="204"/>
      <c r="CX185" s="204"/>
      <c r="CY185" s="204"/>
      <c r="CZ185" s="204"/>
      <c r="DA185" s="204"/>
      <c r="DB185" s="204"/>
      <c r="DC185" s="204"/>
      <c r="DD185" s="204"/>
      <c r="DE185" s="204"/>
      <c r="DF185" s="204"/>
      <c r="DG185" s="204"/>
      <c r="DH185" s="204"/>
      <c r="DI185" s="204"/>
    </row>
    <row r="186" spans="1:113" s="2" customFormat="1" ht="18" x14ac:dyDescent="0.25">
      <c r="A186" s="204"/>
      <c r="B186" s="204"/>
      <c r="C186" s="204"/>
      <c r="D186" s="409"/>
      <c r="E186" s="204"/>
      <c r="F186" s="204"/>
      <c r="G186" s="204"/>
      <c r="H186" s="204"/>
      <c r="I186" s="204"/>
      <c r="J186" s="204"/>
      <c r="K186" s="204"/>
      <c r="L186" s="204"/>
      <c r="M186" s="238"/>
      <c r="N186" s="204"/>
      <c r="O186" s="204"/>
      <c r="P186" s="389"/>
      <c r="Q186" s="389"/>
      <c r="R186" s="191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59"/>
      <c r="AT186" s="43"/>
      <c r="AU186" s="43"/>
      <c r="AV186" s="43"/>
      <c r="AW186" s="59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43"/>
      <c r="CC186" s="43"/>
      <c r="CD186" s="43"/>
      <c r="CE186" s="43"/>
      <c r="CF186" s="43"/>
      <c r="CG186" s="43"/>
      <c r="CH186" s="43"/>
      <c r="CI186" s="43"/>
      <c r="CJ186" s="43"/>
      <c r="CK186" s="43"/>
      <c r="CL186" s="43"/>
      <c r="CM186" s="43"/>
      <c r="CN186" s="43"/>
      <c r="CO186" s="43"/>
      <c r="CP186" s="43"/>
      <c r="CQ186" s="204"/>
      <c r="CR186" s="204"/>
      <c r="CS186" s="204"/>
      <c r="CT186" s="204"/>
      <c r="CU186" s="204"/>
      <c r="CV186" s="204"/>
      <c r="CW186" s="204"/>
      <c r="CX186" s="204"/>
      <c r="CY186" s="204"/>
      <c r="CZ186" s="204"/>
      <c r="DA186" s="204"/>
      <c r="DB186" s="204"/>
      <c r="DC186" s="204"/>
      <c r="DD186" s="204"/>
      <c r="DE186" s="204"/>
      <c r="DF186" s="204"/>
      <c r="DG186" s="204"/>
      <c r="DH186" s="204"/>
      <c r="DI186" s="204"/>
    </row>
    <row r="187" spans="1:113" s="2" customFormat="1" x14ac:dyDescent="0.3">
      <c r="A187" s="204"/>
      <c r="B187" s="204"/>
      <c r="C187" s="204"/>
      <c r="D187" s="204"/>
      <c r="E187" s="204"/>
      <c r="F187" s="204"/>
      <c r="G187" s="204"/>
      <c r="H187" s="204"/>
      <c r="I187" s="241"/>
      <c r="J187" s="204"/>
      <c r="K187" s="204"/>
      <c r="L187" s="204"/>
      <c r="M187" s="238"/>
      <c r="N187" s="204"/>
      <c r="O187" s="204"/>
      <c r="P187" s="204"/>
      <c r="Q187" s="204"/>
      <c r="R187" s="191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59"/>
      <c r="AT187" s="43"/>
      <c r="AU187" s="43"/>
      <c r="AV187" s="43"/>
      <c r="AW187" s="59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204"/>
      <c r="CR187" s="204"/>
      <c r="CS187" s="204"/>
      <c r="CT187" s="204"/>
      <c r="CU187" s="204"/>
      <c r="CV187" s="204"/>
      <c r="CW187" s="204"/>
      <c r="CX187" s="204"/>
      <c r="CY187" s="204"/>
      <c r="CZ187" s="204"/>
      <c r="DA187" s="204"/>
      <c r="DB187" s="204"/>
      <c r="DC187" s="204"/>
      <c r="DD187" s="204"/>
      <c r="DE187" s="204"/>
      <c r="DF187" s="204"/>
      <c r="DG187" s="204"/>
      <c r="DH187" s="204"/>
      <c r="DI187" s="204"/>
    </row>
    <row r="188" spans="1:113" s="2" customFormat="1" ht="18" x14ac:dyDescent="0.25">
      <c r="A188" s="204"/>
      <c r="B188" s="204"/>
      <c r="C188" s="204"/>
      <c r="D188" s="204"/>
      <c r="E188" s="204"/>
      <c r="F188" s="204"/>
      <c r="G188" s="204"/>
      <c r="H188" s="204"/>
      <c r="I188" s="204"/>
      <c r="J188" s="204"/>
      <c r="K188" s="204"/>
      <c r="L188" s="204"/>
      <c r="M188" s="238"/>
      <c r="N188" s="204"/>
      <c r="O188" s="204"/>
      <c r="P188" s="204"/>
      <c r="Q188" s="204"/>
      <c r="R188" s="191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59"/>
      <c r="AT188" s="43"/>
      <c r="AU188" s="43"/>
      <c r="AV188" s="43"/>
      <c r="AW188" s="59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204"/>
      <c r="CR188" s="204"/>
      <c r="CS188" s="204"/>
      <c r="CT188" s="204"/>
      <c r="CU188" s="204"/>
      <c r="CV188" s="204"/>
      <c r="CW188" s="204"/>
      <c r="CX188" s="204"/>
      <c r="CY188" s="204"/>
      <c r="CZ188" s="204"/>
      <c r="DA188" s="204"/>
      <c r="DB188" s="204"/>
      <c r="DC188" s="204"/>
      <c r="DD188" s="204"/>
      <c r="DE188" s="204"/>
      <c r="DF188" s="204"/>
      <c r="DG188" s="204"/>
      <c r="DH188" s="204"/>
      <c r="DI188" s="204"/>
    </row>
    <row r="189" spans="1:113" s="2" customFormat="1" ht="18" x14ac:dyDescent="0.25">
      <c r="A189" s="204"/>
      <c r="B189" s="204"/>
      <c r="C189" s="204"/>
      <c r="D189" s="204"/>
      <c r="E189" s="204"/>
      <c r="F189" s="204"/>
      <c r="G189" s="204"/>
      <c r="H189" s="204"/>
      <c r="I189" s="204"/>
      <c r="J189" s="204"/>
      <c r="K189" s="204"/>
      <c r="L189" s="204"/>
      <c r="M189" s="238"/>
      <c r="N189" s="204"/>
      <c r="O189" s="204"/>
      <c r="P189" s="204"/>
      <c r="Q189" s="204"/>
      <c r="R189" s="191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59"/>
      <c r="AT189" s="43"/>
      <c r="AU189" s="43"/>
      <c r="AV189" s="43"/>
      <c r="AW189" s="59"/>
      <c r="AX189" s="38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204"/>
      <c r="CR189" s="204"/>
      <c r="CS189" s="204"/>
      <c r="CT189" s="204"/>
      <c r="CU189" s="204"/>
      <c r="CV189" s="204"/>
      <c r="CW189" s="204"/>
      <c r="CX189" s="204"/>
      <c r="CY189" s="204"/>
      <c r="CZ189" s="204"/>
      <c r="DA189" s="204"/>
      <c r="DB189" s="204"/>
      <c r="DC189" s="204"/>
      <c r="DD189" s="204"/>
      <c r="DE189" s="204"/>
      <c r="DF189" s="204"/>
      <c r="DG189" s="204"/>
      <c r="DH189" s="204"/>
      <c r="DI189" s="204"/>
    </row>
    <row r="190" spans="1:113" s="2" customFormat="1" ht="18" x14ac:dyDescent="0.25">
      <c r="A190" s="204"/>
      <c r="B190" s="204"/>
      <c r="C190" s="204"/>
      <c r="D190" s="204"/>
      <c r="E190" s="204"/>
      <c r="F190" s="204"/>
      <c r="G190" s="204"/>
      <c r="H190" s="204"/>
      <c r="I190" s="204"/>
      <c r="J190" s="204"/>
      <c r="K190" s="204"/>
      <c r="L190" s="204"/>
      <c r="M190" s="238"/>
      <c r="N190" s="204"/>
      <c r="O190" s="204"/>
      <c r="P190" s="204"/>
      <c r="Q190" s="204"/>
      <c r="R190" s="191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59"/>
      <c r="AT190" s="43"/>
      <c r="AU190" s="43"/>
      <c r="AV190" s="43"/>
      <c r="AW190" s="59"/>
      <c r="AX190" s="38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204"/>
      <c r="CR190" s="204"/>
      <c r="CS190" s="204"/>
      <c r="CT190" s="204"/>
      <c r="CU190" s="204"/>
      <c r="CV190" s="204"/>
      <c r="CW190" s="204"/>
      <c r="CX190" s="204"/>
      <c r="CY190" s="204"/>
      <c r="CZ190" s="204"/>
      <c r="DA190" s="204"/>
      <c r="DB190" s="204"/>
      <c r="DC190" s="204"/>
      <c r="DD190" s="204"/>
      <c r="DE190" s="204"/>
      <c r="DF190" s="204"/>
      <c r="DG190" s="204"/>
      <c r="DH190" s="204"/>
      <c r="DI190" s="204"/>
    </row>
    <row r="191" spans="1:113" s="2" customFormat="1" ht="18" x14ac:dyDescent="0.25">
      <c r="A191" s="204"/>
      <c r="B191" s="204"/>
      <c r="C191" s="204"/>
      <c r="D191" s="204"/>
      <c r="E191" s="204"/>
      <c r="F191" s="204"/>
      <c r="G191" s="204"/>
      <c r="H191" s="204"/>
      <c r="I191" s="204"/>
      <c r="J191" s="204"/>
      <c r="K191" s="204"/>
      <c r="L191" s="204"/>
      <c r="M191" s="238"/>
      <c r="N191" s="204"/>
      <c r="O191" s="204"/>
      <c r="P191" s="204"/>
      <c r="Q191" s="204"/>
      <c r="R191" s="191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59"/>
      <c r="AT191" s="43"/>
      <c r="AU191" s="43"/>
      <c r="AV191" s="43"/>
      <c r="AW191" s="59"/>
      <c r="AX191" s="38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204"/>
      <c r="CR191" s="204"/>
      <c r="CS191" s="204"/>
      <c r="CT191" s="204"/>
      <c r="CU191" s="204"/>
      <c r="CV191" s="204"/>
      <c r="CW191" s="204"/>
      <c r="CX191" s="204"/>
      <c r="CY191" s="204"/>
      <c r="CZ191" s="204"/>
      <c r="DA191" s="204"/>
      <c r="DB191" s="204"/>
      <c r="DC191" s="204"/>
      <c r="DD191" s="204"/>
      <c r="DE191" s="204"/>
      <c r="DF191" s="204"/>
      <c r="DG191" s="204"/>
      <c r="DH191" s="204"/>
      <c r="DI191" s="204"/>
    </row>
    <row r="192" spans="1:113" s="2" customFormat="1" ht="18" x14ac:dyDescent="0.25">
      <c r="A192" s="204"/>
      <c r="B192" s="204"/>
      <c r="C192" s="204"/>
      <c r="D192" s="204"/>
      <c r="E192" s="204"/>
      <c r="F192" s="204"/>
      <c r="G192" s="204"/>
      <c r="H192" s="204"/>
      <c r="I192" s="204"/>
      <c r="J192" s="204"/>
      <c r="K192" s="204"/>
      <c r="L192" s="204"/>
      <c r="M192" s="238"/>
      <c r="N192" s="204"/>
      <c r="O192" s="204"/>
      <c r="P192" s="204"/>
      <c r="Q192" s="204"/>
      <c r="R192" s="191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59"/>
      <c r="AT192" s="43"/>
      <c r="AU192" s="43"/>
      <c r="AV192" s="43"/>
      <c r="AW192" s="59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204"/>
      <c r="CR192" s="204"/>
      <c r="CS192" s="204"/>
      <c r="CT192" s="204"/>
      <c r="CU192" s="204"/>
      <c r="CV192" s="204"/>
      <c r="CW192" s="204"/>
      <c r="CX192" s="204"/>
      <c r="CY192" s="204"/>
      <c r="CZ192" s="204"/>
      <c r="DA192" s="204"/>
      <c r="DB192" s="204"/>
      <c r="DC192" s="204"/>
      <c r="DD192" s="204"/>
      <c r="DE192" s="204"/>
      <c r="DF192" s="204"/>
      <c r="DG192" s="204"/>
      <c r="DH192" s="204"/>
      <c r="DI192" s="204"/>
    </row>
    <row r="193" spans="1:113" s="2" customFormat="1" ht="18.75" hidden="1" customHeight="1" outlineLevel="1" x14ac:dyDescent="0.3">
      <c r="A193" s="204"/>
      <c r="B193" s="240"/>
      <c r="C193" s="204"/>
      <c r="D193" s="204"/>
      <c r="E193" s="228"/>
      <c r="F193" s="228"/>
      <c r="G193" s="228"/>
      <c r="H193" s="228"/>
      <c r="I193" s="228"/>
      <c r="J193" s="228"/>
      <c r="K193" s="228"/>
      <c r="L193" s="228"/>
      <c r="M193" s="223"/>
      <c r="N193" s="224"/>
      <c r="O193" s="204"/>
      <c r="P193" s="204"/>
      <c r="Q193" s="204"/>
      <c r="R193" s="191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59"/>
      <c r="AT193" s="43"/>
      <c r="AU193" s="43"/>
      <c r="AV193" s="43"/>
      <c r="AW193" s="59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43"/>
      <c r="BW193" s="43"/>
      <c r="BX193" s="43"/>
      <c r="BY193" s="43"/>
      <c r="BZ193" s="43"/>
      <c r="CA193" s="43"/>
      <c r="CB193" s="43"/>
      <c r="CC193" s="43"/>
      <c r="CD193" s="43"/>
      <c r="CE193" s="43"/>
      <c r="CF193" s="43"/>
      <c r="CG193" s="43"/>
      <c r="CH193" s="43"/>
      <c r="CI193" s="43"/>
      <c r="CJ193" s="43"/>
      <c r="CK193" s="43"/>
      <c r="CL193" s="43"/>
      <c r="CM193" s="43"/>
      <c r="CN193" s="43"/>
      <c r="CO193" s="43"/>
      <c r="CP193" s="43"/>
      <c r="CQ193" s="204"/>
      <c r="CR193" s="204"/>
      <c r="CS193" s="204"/>
      <c r="CT193" s="204"/>
      <c r="CU193" s="204"/>
      <c r="CV193" s="204"/>
      <c r="CW193" s="204"/>
      <c r="CX193" s="204"/>
      <c r="CY193" s="204"/>
      <c r="CZ193" s="204"/>
      <c r="DA193" s="204"/>
      <c r="DB193" s="204"/>
      <c r="DC193" s="204"/>
      <c r="DD193" s="204"/>
      <c r="DE193" s="204"/>
      <c r="DF193" s="204"/>
      <c r="DG193" s="204"/>
      <c r="DH193" s="204"/>
      <c r="DI193" s="204"/>
    </row>
    <row r="194" spans="1:113" s="2" customFormat="1" ht="19.5" hidden="1" customHeight="1" outlineLevel="1" thickBot="1" x14ac:dyDescent="0.35">
      <c r="A194" s="204"/>
      <c r="B194" s="216"/>
      <c r="C194" s="204"/>
      <c r="D194" s="204"/>
      <c r="E194" s="228"/>
      <c r="F194" s="228"/>
      <c r="G194" s="228"/>
      <c r="H194" s="228"/>
      <c r="I194" s="228"/>
      <c r="J194" s="228"/>
      <c r="K194" s="228"/>
      <c r="L194" s="228"/>
      <c r="M194" s="223"/>
      <c r="N194" s="224"/>
      <c r="O194" s="204"/>
      <c r="P194" s="204"/>
      <c r="Q194" s="204"/>
      <c r="R194" s="191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59"/>
      <c r="AT194" s="43"/>
      <c r="AU194" s="43"/>
      <c r="AV194" s="43"/>
      <c r="AW194" s="59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  <c r="BW194" s="43"/>
      <c r="BX194" s="43"/>
      <c r="BY194" s="43"/>
      <c r="BZ194" s="43"/>
      <c r="CA194" s="43"/>
      <c r="CB194" s="43"/>
      <c r="CC194" s="43"/>
      <c r="CD194" s="43"/>
      <c r="CE194" s="43"/>
      <c r="CF194" s="43"/>
      <c r="CG194" s="43"/>
      <c r="CH194" s="43"/>
      <c r="CI194" s="43"/>
      <c r="CJ194" s="43"/>
      <c r="CK194" s="43"/>
      <c r="CL194" s="43"/>
      <c r="CM194" s="43"/>
      <c r="CN194" s="43"/>
      <c r="CO194" s="43"/>
      <c r="CP194" s="43"/>
      <c r="CQ194" s="204"/>
      <c r="CR194" s="204"/>
      <c r="CS194" s="204"/>
      <c r="CT194" s="204"/>
      <c r="CU194" s="204"/>
      <c r="CV194" s="204"/>
      <c r="CW194" s="204"/>
      <c r="CX194" s="204"/>
      <c r="CY194" s="204"/>
      <c r="CZ194" s="204"/>
      <c r="DA194" s="204"/>
      <c r="DB194" s="204"/>
      <c r="DC194" s="204"/>
      <c r="DD194" s="204"/>
      <c r="DE194" s="204"/>
      <c r="DF194" s="204"/>
      <c r="DG194" s="204"/>
      <c r="DH194" s="204"/>
      <c r="DI194" s="204"/>
    </row>
    <row r="195" spans="1:113" s="2" customFormat="1" ht="19.5" hidden="1" customHeight="1" outlineLevel="1" thickBot="1" x14ac:dyDescent="0.35">
      <c r="A195" s="204"/>
      <c r="B195" s="247" t="s">
        <v>11</v>
      </c>
      <c r="C195" s="204"/>
      <c r="D195" s="204"/>
      <c r="E195" s="228"/>
      <c r="F195" s="228"/>
      <c r="G195" s="228"/>
      <c r="H195" s="228"/>
      <c r="I195" s="228"/>
      <c r="J195" s="228"/>
      <c r="K195" s="228"/>
      <c r="L195" s="228"/>
      <c r="M195" s="223"/>
      <c r="N195" s="224"/>
      <c r="O195" s="204"/>
      <c r="P195" s="204"/>
      <c r="Q195" s="204"/>
      <c r="R195" s="191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59"/>
      <c r="AT195" s="43"/>
      <c r="AU195" s="43"/>
      <c r="AV195" s="43"/>
      <c r="AW195" s="59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204"/>
      <c r="CR195" s="204"/>
      <c r="CS195" s="204"/>
      <c r="CT195" s="204"/>
      <c r="CU195" s="204"/>
      <c r="CV195" s="204"/>
      <c r="CW195" s="204"/>
      <c r="CX195" s="204"/>
      <c r="CY195" s="204"/>
      <c r="CZ195" s="204"/>
      <c r="DA195" s="204"/>
      <c r="DB195" s="204"/>
      <c r="DC195" s="204"/>
      <c r="DD195" s="204"/>
      <c r="DE195" s="204"/>
      <c r="DF195" s="204"/>
      <c r="DG195" s="204"/>
      <c r="DH195" s="204"/>
      <c r="DI195" s="204"/>
    </row>
    <row r="196" spans="1:113" s="2" customFormat="1" ht="19.5" hidden="1" customHeight="1" outlineLevel="1" thickBot="1" x14ac:dyDescent="0.35">
      <c r="A196" s="204"/>
      <c r="B196" s="247"/>
      <c r="C196" s="204"/>
      <c r="D196" s="204"/>
      <c r="E196" s="228"/>
      <c r="F196" s="228"/>
      <c r="G196" s="228"/>
      <c r="H196" s="228"/>
      <c r="I196" s="228"/>
      <c r="J196" s="228"/>
      <c r="K196" s="228"/>
      <c r="L196" s="228"/>
      <c r="M196" s="223"/>
      <c r="N196" s="224"/>
      <c r="O196" s="204"/>
      <c r="P196" s="204"/>
      <c r="Q196" s="204"/>
      <c r="R196" s="191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59"/>
      <c r="AT196" s="43"/>
      <c r="AU196" s="43"/>
      <c r="AV196" s="43"/>
      <c r="AW196" s="59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204"/>
      <c r="CR196" s="204"/>
      <c r="CS196" s="204"/>
      <c r="CT196" s="204"/>
      <c r="CU196" s="204"/>
      <c r="CV196" s="204"/>
      <c r="CW196" s="204"/>
      <c r="CX196" s="204"/>
      <c r="CY196" s="204"/>
      <c r="CZ196" s="204"/>
      <c r="DA196" s="204"/>
      <c r="DB196" s="204"/>
      <c r="DC196" s="204"/>
      <c r="DD196" s="204"/>
      <c r="DE196" s="204"/>
      <c r="DF196" s="204"/>
      <c r="DG196" s="204"/>
      <c r="DH196" s="204"/>
      <c r="DI196" s="204"/>
    </row>
    <row r="197" spans="1:113" s="2" customFormat="1" collapsed="1" x14ac:dyDescent="0.3">
      <c r="A197" s="204"/>
      <c r="B197" s="216"/>
      <c r="C197" s="204"/>
      <c r="D197" s="204"/>
      <c r="E197" s="228"/>
      <c r="F197" s="228"/>
      <c r="G197" s="228"/>
      <c r="H197" s="228"/>
      <c r="I197" s="228"/>
      <c r="J197" s="228"/>
      <c r="K197" s="228"/>
      <c r="L197" s="228"/>
      <c r="M197" s="223"/>
      <c r="N197" s="224"/>
      <c r="O197" s="204"/>
      <c r="P197" s="204"/>
      <c r="Q197" s="204"/>
      <c r="R197" s="191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59"/>
      <c r="AT197" s="43"/>
      <c r="AU197" s="43"/>
      <c r="AV197" s="43"/>
      <c r="AW197" s="59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204"/>
      <c r="CR197" s="204"/>
      <c r="CS197" s="204"/>
      <c r="CT197" s="204"/>
      <c r="CU197" s="204"/>
      <c r="CV197" s="204"/>
      <c r="CW197" s="204"/>
      <c r="CX197" s="204"/>
      <c r="CY197" s="204"/>
      <c r="CZ197" s="204"/>
      <c r="DA197" s="204"/>
      <c r="DB197" s="204"/>
      <c r="DC197" s="204"/>
      <c r="DD197" s="204"/>
      <c r="DE197" s="204"/>
      <c r="DF197" s="204"/>
      <c r="DG197" s="204"/>
      <c r="DH197" s="204"/>
      <c r="DI197" s="204"/>
    </row>
    <row r="198" spans="1:113" s="2" customFormat="1" x14ac:dyDescent="0.3">
      <c r="A198" s="204"/>
      <c r="B198" s="216"/>
      <c r="C198" s="204"/>
      <c r="D198" s="204"/>
      <c r="E198" s="228"/>
      <c r="F198" s="228"/>
      <c r="G198" s="228"/>
      <c r="H198" s="228"/>
      <c r="I198" s="228"/>
      <c r="J198" s="228"/>
      <c r="K198" s="228"/>
      <c r="L198" s="228"/>
      <c r="M198" s="223"/>
      <c r="N198" s="224"/>
      <c r="O198" s="204"/>
      <c r="P198" s="204"/>
      <c r="Q198" s="204"/>
      <c r="R198" s="191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59"/>
      <c r="AT198" s="43"/>
      <c r="AU198" s="43"/>
      <c r="AV198" s="43"/>
      <c r="AW198" s="59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204"/>
      <c r="CR198" s="204"/>
      <c r="CS198" s="204"/>
      <c r="CT198" s="204"/>
      <c r="CU198" s="204"/>
      <c r="CV198" s="204"/>
      <c r="CW198" s="204"/>
      <c r="CX198" s="204"/>
      <c r="CY198" s="204"/>
      <c r="CZ198" s="204"/>
      <c r="DA198" s="204"/>
      <c r="DB198" s="204"/>
      <c r="DC198" s="204"/>
      <c r="DD198" s="204"/>
      <c r="DE198" s="204"/>
      <c r="DF198" s="204"/>
      <c r="DG198" s="204"/>
      <c r="DH198" s="204"/>
      <c r="DI198" s="204"/>
    </row>
    <row r="199" spans="1:113" s="2" customFormat="1" x14ac:dyDescent="0.3">
      <c r="A199" s="204"/>
      <c r="B199" s="216"/>
      <c r="C199" s="204"/>
      <c r="D199" s="204"/>
      <c r="E199" s="228"/>
      <c r="F199" s="228"/>
      <c r="G199" s="228"/>
      <c r="H199" s="228"/>
      <c r="I199" s="228"/>
      <c r="J199" s="228"/>
      <c r="K199" s="228"/>
      <c r="L199" s="228"/>
      <c r="M199" s="223"/>
      <c r="N199" s="224"/>
      <c r="O199" s="204"/>
      <c r="P199" s="204"/>
      <c r="Q199" s="204"/>
      <c r="R199" s="191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59"/>
      <c r="AT199" s="43"/>
      <c r="AU199" s="43"/>
      <c r="AV199" s="43"/>
      <c r="AW199" s="59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204"/>
      <c r="CR199" s="204"/>
      <c r="CS199" s="204"/>
      <c r="CT199" s="204"/>
      <c r="CU199" s="204"/>
      <c r="CV199" s="204"/>
      <c r="CW199" s="204"/>
      <c r="CX199" s="204"/>
      <c r="CY199" s="204"/>
      <c r="CZ199" s="204"/>
      <c r="DA199" s="204"/>
      <c r="DB199" s="204"/>
      <c r="DC199" s="204"/>
      <c r="DD199" s="204"/>
      <c r="DE199" s="204"/>
      <c r="DF199" s="204"/>
      <c r="DG199" s="204"/>
      <c r="DH199" s="204"/>
      <c r="DI199" s="204"/>
    </row>
    <row r="200" spans="1:113" s="2" customFormat="1" x14ac:dyDescent="0.3">
      <c r="A200" s="204"/>
      <c r="B200" s="216"/>
      <c r="C200" s="204"/>
      <c r="D200" s="204"/>
      <c r="E200" s="228"/>
      <c r="F200" s="228"/>
      <c r="G200" s="228"/>
      <c r="H200" s="228"/>
      <c r="I200" s="228"/>
      <c r="J200" s="228"/>
      <c r="K200" s="228"/>
      <c r="L200" s="228"/>
      <c r="M200" s="223"/>
      <c r="N200" s="224"/>
      <c r="O200" s="204"/>
      <c r="P200" s="204"/>
      <c r="Q200" s="204"/>
      <c r="R200" s="191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59"/>
      <c r="AT200" s="43"/>
      <c r="AU200" s="43"/>
      <c r="AV200" s="43"/>
      <c r="AW200" s="59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204"/>
      <c r="CR200" s="204"/>
      <c r="CS200" s="204"/>
      <c r="CT200" s="204"/>
      <c r="CU200" s="204"/>
      <c r="CV200" s="204"/>
      <c r="CW200" s="204"/>
      <c r="CX200" s="204"/>
      <c r="CY200" s="204"/>
      <c r="CZ200" s="204"/>
      <c r="DA200" s="204"/>
      <c r="DB200" s="204"/>
      <c r="DC200" s="204"/>
      <c r="DD200" s="204"/>
      <c r="DE200" s="204"/>
      <c r="DF200" s="204"/>
      <c r="DG200" s="204"/>
      <c r="DH200" s="204"/>
      <c r="DI200" s="204"/>
    </row>
    <row r="201" spans="1:113" s="2" customFormat="1" x14ac:dyDescent="0.3">
      <c r="A201" s="204"/>
      <c r="B201" s="216"/>
      <c r="C201" s="204"/>
      <c r="D201" s="204"/>
      <c r="E201" s="228"/>
      <c r="F201" s="228"/>
      <c r="G201" s="228"/>
      <c r="H201" s="228"/>
      <c r="I201" s="228"/>
      <c r="J201" s="228"/>
      <c r="K201" s="228"/>
      <c r="L201" s="228"/>
      <c r="M201" s="223"/>
      <c r="N201" s="224"/>
      <c r="O201" s="204"/>
      <c r="P201" s="204"/>
      <c r="Q201" s="204"/>
      <c r="R201" s="191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4"/>
      <c r="AF201" s="43"/>
      <c r="AG201" s="43"/>
      <c r="AH201" s="291"/>
      <c r="AI201" s="43"/>
      <c r="AJ201" s="291"/>
      <c r="AK201" s="43"/>
      <c r="AL201" s="43"/>
      <c r="AM201" s="43"/>
      <c r="AN201" s="43"/>
      <c r="AO201" s="43"/>
      <c r="AP201" s="156"/>
      <c r="AQ201" s="184"/>
      <c r="AR201" s="72"/>
      <c r="AS201" s="59"/>
      <c r="AT201" s="43"/>
      <c r="AU201" s="59"/>
      <c r="AV201" s="59"/>
      <c r="AW201" s="59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204"/>
      <c r="CR201" s="204"/>
      <c r="CS201" s="204"/>
      <c r="CT201" s="204"/>
      <c r="CU201" s="204"/>
      <c r="CV201" s="204"/>
      <c r="CW201" s="204"/>
      <c r="CX201" s="204"/>
      <c r="CY201" s="204"/>
      <c r="CZ201" s="204"/>
      <c r="DA201" s="204"/>
      <c r="DB201" s="204"/>
      <c r="DC201" s="204"/>
      <c r="DD201" s="204"/>
      <c r="DE201" s="204"/>
      <c r="DF201" s="204"/>
      <c r="DG201" s="204"/>
      <c r="DH201" s="204"/>
      <c r="DI201" s="204"/>
    </row>
    <row r="202" spans="1:113" s="2" customFormat="1" x14ac:dyDescent="0.3">
      <c r="A202" s="204"/>
      <c r="B202" s="216"/>
      <c r="C202" s="204"/>
      <c r="D202" s="204"/>
      <c r="E202" s="228"/>
      <c r="F202" s="228"/>
      <c r="G202" s="228"/>
      <c r="H202" s="228"/>
      <c r="I202" s="228"/>
      <c r="J202" s="228"/>
      <c r="K202" s="228"/>
      <c r="L202" s="228"/>
      <c r="M202" s="223"/>
      <c r="N202" s="224"/>
      <c r="O202" s="204"/>
      <c r="P202" s="204"/>
      <c r="Q202" s="204"/>
      <c r="R202" s="191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4"/>
      <c r="AF202" s="43"/>
      <c r="AG202" s="43"/>
      <c r="AH202" s="291"/>
      <c r="AI202" s="43"/>
      <c r="AJ202" s="291"/>
      <c r="AK202" s="43"/>
      <c r="AL202" s="43"/>
      <c r="AM202" s="43"/>
      <c r="AN202" s="43"/>
      <c r="AO202" s="43"/>
      <c r="AP202" s="156">
        <f>AP157*Vergleich!BI41</f>
        <v>0</v>
      </c>
      <c r="AQ202" s="184"/>
      <c r="AR202" s="72">
        <f>ROUND(AB157*Vergleich!BJ41,)</f>
        <v>0</v>
      </c>
      <c r="AS202" s="59"/>
      <c r="AT202" s="43"/>
      <c r="AU202" s="59"/>
      <c r="AV202" s="59"/>
      <c r="AW202" s="59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204"/>
      <c r="CR202" s="204"/>
      <c r="CS202" s="204"/>
      <c r="CT202" s="204"/>
      <c r="CU202" s="204"/>
      <c r="CV202" s="204"/>
      <c r="CW202" s="204"/>
      <c r="CX202" s="204"/>
      <c r="CY202" s="204"/>
      <c r="CZ202" s="204"/>
      <c r="DA202" s="204"/>
      <c r="DB202" s="204"/>
      <c r="DC202" s="204"/>
      <c r="DD202" s="204"/>
      <c r="DE202" s="204"/>
      <c r="DF202" s="204"/>
      <c r="DG202" s="204"/>
      <c r="DH202" s="204"/>
      <c r="DI202" s="204"/>
    </row>
    <row r="203" spans="1:113" s="2" customFormat="1" x14ac:dyDescent="0.3">
      <c r="A203" s="204"/>
      <c r="B203" s="216"/>
      <c r="C203" s="204"/>
      <c r="D203" s="204"/>
      <c r="E203" s="228"/>
      <c r="F203" s="228"/>
      <c r="G203" s="228"/>
      <c r="H203" s="228"/>
      <c r="I203" s="228"/>
      <c r="J203" s="228"/>
      <c r="K203" s="228"/>
      <c r="L203" s="228"/>
      <c r="M203" s="223"/>
      <c r="N203" s="224"/>
      <c r="O203" s="204"/>
      <c r="P203" s="204"/>
      <c r="Q203" s="204"/>
      <c r="R203" s="191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4"/>
      <c r="AF203" s="43"/>
      <c r="AG203" s="43"/>
      <c r="AH203" s="291"/>
      <c r="AI203" s="43"/>
      <c r="AJ203" s="291"/>
      <c r="AK203" s="43"/>
      <c r="AL203" s="43"/>
      <c r="AM203" s="43"/>
      <c r="AN203" s="43"/>
      <c r="AO203" s="43"/>
      <c r="AP203" s="164">
        <f>MIN(AP178:AP202)</f>
        <v>0</v>
      </c>
      <c r="AQ203" s="59"/>
      <c r="AR203" s="174">
        <f>MIN(AR178:AR202)</f>
        <v>0</v>
      </c>
      <c r="AS203" s="59"/>
      <c r="AT203" s="43"/>
      <c r="AU203" s="59"/>
      <c r="AV203" s="59"/>
      <c r="AW203" s="59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43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204"/>
      <c r="CR203" s="204"/>
      <c r="CS203" s="204"/>
      <c r="CT203" s="204"/>
      <c r="CU203" s="204"/>
      <c r="CV203" s="204"/>
      <c r="CW203" s="204"/>
      <c r="CX203" s="204"/>
      <c r="CY203" s="204"/>
      <c r="CZ203" s="204"/>
      <c r="DA203" s="204"/>
      <c r="DB203" s="204"/>
      <c r="DC203" s="204"/>
      <c r="DD203" s="204"/>
      <c r="DE203" s="204"/>
      <c r="DF203" s="204"/>
      <c r="DG203" s="204"/>
      <c r="DH203" s="204"/>
      <c r="DI203" s="204"/>
    </row>
    <row r="204" spans="1:113" s="2" customFormat="1" x14ac:dyDescent="0.3">
      <c r="A204" s="204"/>
      <c r="B204" s="216"/>
      <c r="C204" s="204"/>
      <c r="D204" s="204"/>
      <c r="E204" s="228"/>
      <c r="F204" s="228"/>
      <c r="G204" s="228"/>
      <c r="H204" s="228"/>
      <c r="I204" s="228"/>
      <c r="J204" s="228"/>
      <c r="K204" s="228"/>
      <c r="L204" s="228"/>
      <c r="M204" s="223"/>
      <c r="N204" s="224"/>
      <c r="O204" s="204"/>
      <c r="P204" s="204"/>
      <c r="Q204" s="204"/>
      <c r="R204" s="191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4"/>
      <c r="AF204" s="43"/>
      <c r="AG204" s="43"/>
      <c r="AH204" s="291"/>
      <c r="AI204" s="43"/>
      <c r="AJ204" s="291"/>
      <c r="AK204" s="43"/>
      <c r="AL204" s="43"/>
      <c r="AM204" s="43"/>
      <c r="AN204" s="43"/>
      <c r="AO204" s="43"/>
      <c r="AP204" s="43"/>
      <c r="AQ204" s="59"/>
      <c r="AR204" s="59"/>
      <c r="AS204" s="59"/>
      <c r="AT204" s="43"/>
      <c r="AU204" s="59"/>
      <c r="AV204" s="59"/>
      <c r="AW204" s="59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43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204"/>
      <c r="CR204" s="204"/>
      <c r="CS204" s="204"/>
      <c r="CT204" s="204"/>
      <c r="CU204" s="204"/>
      <c r="CV204" s="204"/>
      <c r="CW204" s="204"/>
      <c r="CX204" s="204"/>
      <c r="CY204" s="204"/>
      <c r="CZ204" s="204"/>
      <c r="DA204" s="204"/>
      <c r="DB204" s="204"/>
      <c r="DC204" s="204"/>
      <c r="DD204" s="204"/>
      <c r="DE204" s="204"/>
      <c r="DF204" s="204"/>
      <c r="DG204" s="204"/>
      <c r="DH204" s="204"/>
      <c r="DI204" s="204"/>
    </row>
    <row r="205" spans="1:113" s="2" customFormat="1" x14ac:dyDescent="0.3">
      <c r="A205" s="204"/>
      <c r="B205" s="216"/>
      <c r="C205" s="204"/>
      <c r="D205" s="204"/>
      <c r="E205" s="228"/>
      <c r="F205" s="228"/>
      <c r="G205" s="228"/>
      <c r="H205" s="228"/>
      <c r="I205" s="228"/>
      <c r="J205" s="228"/>
      <c r="K205" s="228"/>
      <c r="L205" s="228"/>
      <c r="M205" s="223"/>
      <c r="N205" s="224"/>
      <c r="O205" s="204"/>
      <c r="P205" s="204"/>
      <c r="Q205" s="204"/>
      <c r="R205" s="191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4"/>
      <c r="AF205" s="43"/>
      <c r="AG205" s="43"/>
      <c r="AH205" s="291"/>
      <c r="AI205" s="43"/>
      <c r="AJ205" s="291"/>
      <c r="AK205" s="43"/>
      <c r="AL205" s="43"/>
      <c r="AM205" s="43"/>
      <c r="AN205" s="43"/>
      <c r="AO205" s="43"/>
      <c r="AP205" s="43"/>
      <c r="AQ205" s="59"/>
      <c r="AR205" s="59"/>
      <c r="AS205" s="59"/>
      <c r="AT205" s="43"/>
      <c r="AU205" s="59"/>
      <c r="AV205" s="59"/>
      <c r="AW205" s="59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204"/>
      <c r="CR205" s="204"/>
      <c r="CS205" s="204"/>
      <c r="CT205" s="204"/>
      <c r="CU205" s="204"/>
      <c r="CV205" s="204"/>
      <c r="CW205" s="204"/>
      <c r="CX205" s="204"/>
      <c r="CY205" s="204"/>
      <c r="CZ205" s="204"/>
      <c r="DA205" s="204"/>
      <c r="DB205" s="204"/>
      <c r="DC205" s="204"/>
      <c r="DD205" s="204"/>
      <c r="DE205" s="204"/>
      <c r="DF205" s="204"/>
      <c r="DG205" s="204"/>
      <c r="DH205" s="204"/>
      <c r="DI205" s="204"/>
    </row>
    <row r="206" spans="1:113" s="2" customFormat="1" x14ac:dyDescent="0.3">
      <c r="A206" s="204"/>
      <c r="B206" s="216"/>
      <c r="C206" s="204"/>
      <c r="D206" s="204"/>
      <c r="E206" s="228"/>
      <c r="F206" s="228"/>
      <c r="G206" s="228"/>
      <c r="H206" s="228"/>
      <c r="I206" s="228"/>
      <c r="J206" s="228"/>
      <c r="K206" s="228"/>
      <c r="L206" s="228"/>
      <c r="M206" s="223"/>
      <c r="N206" s="224"/>
      <c r="O206" s="204"/>
      <c r="P206" s="204"/>
      <c r="Q206" s="204"/>
      <c r="R206" s="191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4"/>
      <c r="AF206" s="43"/>
      <c r="AG206" s="43"/>
      <c r="AH206" s="291"/>
      <c r="AI206" s="43"/>
      <c r="AJ206" s="291"/>
      <c r="AK206" s="43"/>
      <c r="AL206" s="43"/>
      <c r="AM206" s="43"/>
      <c r="AN206" s="43"/>
      <c r="AO206" s="43"/>
      <c r="AP206" s="43"/>
      <c r="AQ206" s="59"/>
      <c r="AR206" s="59"/>
      <c r="AS206" s="59"/>
      <c r="AT206" s="43"/>
      <c r="AU206" s="59"/>
      <c r="AV206" s="59"/>
      <c r="AW206" s="59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43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204"/>
      <c r="CR206" s="204"/>
      <c r="CS206" s="204"/>
      <c r="CT206" s="204"/>
      <c r="CU206" s="204"/>
      <c r="CV206" s="204"/>
      <c r="CW206" s="204"/>
      <c r="CX206" s="204"/>
      <c r="CY206" s="204"/>
      <c r="CZ206" s="204"/>
      <c r="DA206" s="204"/>
      <c r="DB206" s="204"/>
      <c r="DC206" s="204"/>
      <c r="DD206" s="204"/>
      <c r="DE206" s="204"/>
      <c r="DF206" s="204"/>
      <c r="DG206" s="204"/>
      <c r="DH206" s="204"/>
      <c r="DI206" s="204"/>
    </row>
    <row r="207" spans="1:113" s="2" customFormat="1" x14ac:dyDescent="0.3">
      <c r="A207" s="204"/>
      <c r="B207" s="216"/>
      <c r="C207" s="204"/>
      <c r="D207" s="204"/>
      <c r="E207" s="228"/>
      <c r="F207" s="228"/>
      <c r="G207" s="228"/>
      <c r="H207" s="228"/>
      <c r="I207" s="228"/>
      <c r="J207" s="228"/>
      <c r="K207" s="228"/>
      <c r="L207" s="228"/>
      <c r="M207" s="223"/>
      <c r="N207" s="224"/>
      <c r="O207" s="204"/>
      <c r="P207" s="204"/>
      <c r="Q207" s="204"/>
      <c r="R207" s="191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4"/>
      <c r="AF207" s="43"/>
      <c r="AG207" s="43"/>
      <c r="AH207" s="291"/>
      <c r="AI207" s="43"/>
      <c r="AJ207" s="291"/>
      <c r="AK207" s="43"/>
      <c r="AL207" s="43"/>
      <c r="AM207" s="43"/>
      <c r="AN207" s="43"/>
      <c r="AO207" s="43"/>
      <c r="AP207" s="43"/>
      <c r="AQ207" s="59"/>
      <c r="AR207" s="59"/>
      <c r="AS207" s="59"/>
      <c r="AT207" s="43"/>
      <c r="AU207" s="59"/>
      <c r="AV207" s="59"/>
      <c r="AW207" s="59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43"/>
      <c r="BY207" s="43"/>
      <c r="BZ207" s="44"/>
      <c r="CA207" s="44"/>
      <c r="CB207" s="43"/>
      <c r="CC207" s="43"/>
      <c r="CD207" s="44"/>
      <c r="CE207" s="44"/>
      <c r="CF207" s="43"/>
      <c r="CG207" s="43"/>
      <c r="CH207" s="44"/>
      <c r="CI207" s="44"/>
      <c r="CJ207" s="43"/>
      <c r="CK207" s="43"/>
      <c r="CL207" s="43"/>
      <c r="CM207" s="44"/>
      <c r="CN207" s="44"/>
      <c r="CO207" s="45"/>
      <c r="CP207" s="43"/>
      <c r="CQ207" s="204"/>
      <c r="CR207" s="204"/>
      <c r="CS207" s="204"/>
      <c r="CT207" s="204"/>
      <c r="CU207" s="204"/>
      <c r="CV207" s="204"/>
      <c r="CW207" s="204"/>
      <c r="CX207" s="204"/>
      <c r="CY207" s="204"/>
      <c r="CZ207" s="204"/>
      <c r="DA207" s="204"/>
      <c r="DB207" s="204"/>
      <c r="DC207" s="204"/>
      <c r="DD207" s="204"/>
      <c r="DE207" s="204"/>
      <c r="DF207" s="204"/>
      <c r="DG207" s="204"/>
      <c r="DH207" s="204"/>
      <c r="DI207" s="204"/>
    </row>
    <row r="208" spans="1:113" s="2" customFormat="1" x14ac:dyDescent="0.3">
      <c r="A208" s="204"/>
      <c r="B208" s="216"/>
      <c r="C208" s="204"/>
      <c r="D208" s="204"/>
      <c r="E208" s="228"/>
      <c r="F208" s="228"/>
      <c r="G208" s="228"/>
      <c r="H208" s="228"/>
      <c r="I208" s="228"/>
      <c r="J208" s="228"/>
      <c r="K208" s="228"/>
      <c r="L208" s="228"/>
      <c r="M208" s="223"/>
      <c r="N208" s="224"/>
      <c r="O208" s="204"/>
      <c r="P208" s="204"/>
      <c r="Q208" s="204"/>
      <c r="R208" s="191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4"/>
      <c r="AF208" s="43"/>
      <c r="AG208" s="43"/>
      <c r="AH208" s="291"/>
      <c r="AI208" s="43"/>
      <c r="AJ208" s="291"/>
      <c r="AK208" s="43"/>
      <c r="AL208" s="43"/>
      <c r="AM208" s="43"/>
      <c r="AN208" s="43"/>
      <c r="AO208" s="43"/>
      <c r="AP208" s="43"/>
      <c r="AQ208" s="59"/>
      <c r="AR208" s="59"/>
      <c r="AS208" s="59"/>
      <c r="AT208" s="43"/>
      <c r="AU208" s="59"/>
      <c r="AV208" s="59"/>
      <c r="AW208" s="59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43"/>
      <c r="BY208" s="43"/>
      <c r="BZ208" s="44"/>
      <c r="CA208" s="44"/>
      <c r="CB208" s="43"/>
      <c r="CC208" s="43"/>
      <c r="CD208" s="44"/>
      <c r="CE208" s="44"/>
      <c r="CF208" s="43"/>
      <c r="CG208" s="43"/>
      <c r="CH208" s="44"/>
      <c r="CI208" s="44"/>
      <c r="CJ208" s="43"/>
      <c r="CK208" s="43"/>
      <c r="CL208" s="43"/>
      <c r="CM208" s="44"/>
      <c r="CN208" s="44"/>
      <c r="CO208" s="45"/>
      <c r="CP208" s="43"/>
      <c r="CQ208" s="204"/>
      <c r="CR208" s="204"/>
      <c r="CS208" s="204"/>
      <c r="CT208" s="204"/>
      <c r="CU208" s="204"/>
      <c r="CV208" s="204"/>
      <c r="CW208" s="204"/>
      <c r="CX208" s="204"/>
      <c r="CY208" s="204"/>
      <c r="CZ208" s="204"/>
      <c r="DA208" s="204"/>
      <c r="DB208" s="204"/>
      <c r="DC208" s="204"/>
      <c r="DD208" s="204"/>
      <c r="DE208" s="204"/>
      <c r="DF208" s="204"/>
      <c r="DG208" s="204"/>
      <c r="DH208" s="204"/>
      <c r="DI208" s="204"/>
    </row>
    <row r="209" spans="1:113" s="2" customFormat="1" x14ac:dyDescent="0.3">
      <c r="A209" s="204"/>
      <c r="B209" s="216"/>
      <c r="C209" s="204"/>
      <c r="D209" s="204"/>
      <c r="E209" s="228"/>
      <c r="F209" s="228"/>
      <c r="G209" s="228"/>
      <c r="H209" s="228"/>
      <c r="I209" s="228"/>
      <c r="J209" s="228"/>
      <c r="K209" s="228"/>
      <c r="L209" s="228"/>
      <c r="M209" s="223"/>
      <c r="N209" s="224"/>
      <c r="O209" s="204"/>
      <c r="P209" s="204"/>
      <c r="Q209" s="204"/>
      <c r="R209" s="191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4"/>
      <c r="AF209" s="43"/>
      <c r="AG209" s="43"/>
      <c r="AH209" s="291"/>
      <c r="AI209" s="43"/>
      <c r="AJ209" s="291"/>
      <c r="AK209" s="43"/>
      <c r="AL209" s="43"/>
      <c r="AM209" s="43"/>
      <c r="AN209" s="43"/>
      <c r="AO209" s="43"/>
      <c r="AP209" s="43"/>
      <c r="AQ209" s="59"/>
      <c r="AR209" s="59"/>
      <c r="AS209" s="59"/>
      <c r="AT209" s="43"/>
      <c r="AU209" s="59"/>
      <c r="AV209" s="59"/>
      <c r="AW209" s="59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4"/>
      <c r="CA209" s="44"/>
      <c r="CB209" s="43"/>
      <c r="CC209" s="43"/>
      <c r="CD209" s="44"/>
      <c r="CE209" s="44"/>
      <c r="CF209" s="43"/>
      <c r="CG209" s="43"/>
      <c r="CH209" s="44"/>
      <c r="CI209" s="44"/>
      <c r="CJ209" s="43"/>
      <c r="CK209" s="43"/>
      <c r="CL209" s="43"/>
      <c r="CM209" s="44"/>
      <c r="CN209" s="44"/>
      <c r="CO209" s="45"/>
      <c r="CP209" s="43"/>
      <c r="CQ209" s="204"/>
      <c r="CR209" s="204"/>
      <c r="CS209" s="204"/>
      <c r="CT209" s="204"/>
      <c r="CU209" s="204"/>
      <c r="CV209" s="204"/>
      <c r="CW209" s="204"/>
      <c r="CX209" s="204"/>
      <c r="CY209" s="204"/>
      <c r="CZ209" s="204"/>
      <c r="DA209" s="204"/>
      <c r="DB209" s="204"/>
      <c r="DC209" s="204"/>
      <c r="DD209" s="204"/>
      <c r="DE209" s="204"/>
      <c r="DF209" s="204"/>
      <c r="DG209" s="204"/>
      <c r="DH209" s="204"/>
      <c r="DI209" s="204"/>
    </row>
    <row r="210" spans="1:113" s="2" customFormat="1" x14ac:dyDescent="0.3">
      <c r="A210" s="204"/>
      <c r="B210" s="216"/>
      <c r="C210" s="204"/>
      <c r="D210" s="204"/>
      <c r="E210" s="228"/>
      <c r="F210" s="228"/>
      <c r="G210" s="228"/>
      <c r="H210" s="228"/>
      <c r="I210" s="228"/>
      <c r="J210" s="228"/>
      <c r="K210" s="228"/>
      <c r="L210" s="228"/>
      <c r="M210" s="223"/>
      <c r="N210" s="224"/>
      <c r="O210" s="204"/>
      <c r="P210" s="204"/>
      <c r="Q210" s="204"/>
      <c r="R210" s="191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4"/>
      <c r="AF210" s="43"/>
      <c r="AG210" s="43"/>
      <c r="AH210" s="291"/>
      <c r="AI210" s="43"/>
      <c r="AJ210" s="291"/>
      <c r="AK210" s="43"/>
      <c r="AL210" s="43"/>
      <c r="AM210" s="43"/>
      <c r="AN210" s="43"/>
      <c r="AO210" s="43"/>
      <c r="AP210" s="43"/>
      <c r="AQ210" s="59"/>
      <c r="AR210" s="59"/>
      <c r="AS210" s="59"/>
      <c r="AT210" s="43"/>
      <c r="AU210" s="59"/>
      <c r="AV210" s="59"/>
      <c r="AW210" s="59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BY210" s="43"/>
      <c r="BZ210" s="44"/>
      <c r="CA210" s="44"/>
      <c r="CB210" s="43"/>
      <c r="CC210" s="43"/>
      <c r="CD210" s="44"/>
      <c r="CE210" s="44"/>
      <c r="CF210" s="43"/>
      <c r="CG210" s="43"/>
      <c r="CH210" s="44"/>
      <c r="CI210" s="44"/>
      <c r="CJ210" s="43"/>
      <c r="CK210" s="43"/>
      <c r="CL210" s="43"/>
      <c r="CM210" s="44"/>
      <c r="CN210" s="44"/>
      <c r="CO210" s="45"/>
      <c r="CP210" s="43"/>
      <c r="CQ210" s="204"/>
      <c r="CR210" s="204"/>
      <c r="CS210" s="204"/>
      <c r="CT210" s="204"/>
      <c r="CU210" s="204"/>
      <c r="CV210" s="204"/>
      <c r="CW210" s="204"/>
      <c r="CX210" s="204"/>
      <c r="CY210" s="204"/>
      <c r="CZ210" s="204"/>
      <c r="DA210" s="204"/>
      <c r="DB210" s="204"/>
      <c r="DC210" s="204"/>
      <c r="DD210" s="204"/>
      <c r="DE210" s="204"/>
      <c r="DF210" s="204"/>
      <c r="DG210" s="204"/>
      <c r="DH210" s="204"/>
      <c r="DI210" s="204"/>
    </row>
    <row r="211" spans="1:113" s="2" customFormat="1" x14ac:dyDescent="0.3">
      <c r="A211" s="204"/>
      <c r="B211" s="216"/>
      <c r="C211" s="204"/>
      <c r="D211" s="204"/>
      <c r="E211" s="228"/>
      <c r="F211" s="228"/>
      <c r="G211" s="228"/>
      <c r="H211" s="228"/>
      <c r="I211" s="228"/>
      <c r="J211" s="228"/>
      <c r="K211" s="228"/>
      <c r="L211" s="228"/>
      <c r="M211" s="223"/>
      <c r="N211" s="224"/>
      <c r="O211" s="204"/>
      <c r="P211" s="204"/>
      <c r="Q211" s="204"/>
      <c r="R211" s="191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4"/>
      <c r="AF211" s="43"/>
      <c r="AG211" s="43"/>
      <c r="AH211" s="291"/>
      <c r="AI211" s="43"/>
      <c r="AJ211" s="291"/>
      <c r="AK211" s="43"/>
      <c r="AL211" s="43"/>
      <c r="AM211" s="43"/>
      <c r="AN211" s="43"/>
      <c r="AO211" s="43"/>
      <c r="AP211" s="43"/>
      <c r="AQ211" s="59"/>
      <c r="AR211" s="59"/>
      <c r="AS211" s="59"/>
      <c r="AT211" s="43"/>
      <c r="AU211" s="59"/>
      <c r="AV211" s="59"/>
      <c r="AW211" s="59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4"/>
      <c r="CA211" s="44"/>
      <c r="CB211" s="43"/>
      <c r="CC211" s="43"/>
      <c r="CD211" s="44"/>
      <c r="CE211" s="44"/>
      <c r="CF211" s="43"/>
      <c r="CG211" s="43"/>
      <c r="CH211" s="44"/>
      <c r="CI211" s="44"/>
      <c r="CJ211" s="43"/>
      <c r="CK211" s="43"/>
      <c r="CL211" s="43"/>
      <c r="CM211" s="44"/>
      <c r="CN211" s="44"/>
      <c r="CO211" s="45"/>
      <c r="CP211" s="43"/>
      <c r="CQ211" s="204"/>
      <c r="CR211" s="204"/>
      <c r="CS211" s="204"/>
      <c r="CT211" s="204"/>
      <c r="CU211" s="204"/>
      <c r="CV211" s="204"/>
      <c r="CW211" s="204"/>
      <c r="CX211" s="204"/>
      <c r="CY211" s="204"/>
      <c r="CZ211" s="204"/>
      <c r="DA211" s="204"/>
      <c r="DB211" s="204"/>
      <c r="DC211" s="204"/>
      <c r="DD211" s="204"/>
      <c r="DE211" s="204"/>
      <c r="DF211" s="204"/>
      <c r="DG211" s="204"/>
      <c r="DH211" s="204"/>
      <c r="DI211" s="204"/>
    </row>
    <row r="212" spans="1:113" s="2" customFormat="1" x14ac:dyDescent="0.3">
      <c r="A212" s="204"/>
      <c r="B212" s="216"/>
      <c r="C212" s="204"/>
      <c r="D212" s="204"/>
      <c r="E212" s="228"/>
      <c r="F212" s="228"/>
      <c r="G212" s="228"/>
      <c r="H212" s="228"/>
      <c r="I212" s="228"/>
      <c r="J212" s="228"/>
      <c r="K212" s="228"/>
      <c r="L212" s="228"/>
      <c r="M212" s="223"/>
      <c r="N212" s="224"/>
      <c r="O212" s="204"/>
      <c r="P212" s="204"/>
      <c r="Q212" s="204"/>
      <c r="R212" s="191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4"/>
      <c r="AF212" s="43"/>
      <c r="AG212" s="43"/>
      <c r="AH212" s="291"/>
      <c r="AI212" s="43"/>
      <c r="AJ212" s="291"/>
      <c r="AK212" s="43"/>
      <c r="AL212" s="43"/>
      <c r="AM212" s="43"/>
      <c r="AN212" s="43"/>
      <c r="AO212" s="43"/>
      <c r="AP212" s="43"/>
      <c r="AQ212" s="59"/>
      <c r="AR212" s="59"/>
      <c r="AS212" s="59"/>
      <c r="AT212" s="43"/>
      <c r="AU212" s="59"/>
      <c r="AV212" s="59"/>
      <c r="AW212" s="59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4"/>
      <c r="CA212" s="44"/>
      <c r="CB212" s="43"/>
      <c r="CC212" s="43"/>
      <c r="CD212" s="44"/>
      <c r="CE212" s="44"/>
      <c r="CF212" s="43"/>
      <c r="CG212" s="43"/>
      <c r="CH212" s="44"/>
      <c r="CI212" s="44"/>
      <c r="CJ212" s="43"/>
      <c r="CK212" s="43"/>
      <c r="CL212" s="43"/>
      <c r="CM212" s="44"/>
      <c r="CN212" s="44"/>
      <c r="CO212" s="45"/>
      <c r="CP212" s="43"/>
      <c r="CQ212" s="204"/>
      <c r="CR212" s="204"/>
      <c r="CS212" s="204"/>
      <c r="CT212" s="204"/>
      <c r="CU212" s="204"/>
      <c r="CV212" s="204"/>
      <c r="CW212" s="204"/>
      <c r="CX212" s="204"/>
      <c r="CY212" s="204"/>
      <c r="CZ212" s="204"/>
      <c r="DA212" s="204"/>
      <c r="DB212" s="204"/>
      <c r="DC212" s="204"/>
      <c r="DD212" s="204"/>
      <c r="DE212" s="204"/>
      <c r="DF212" s="204"/>
      <c r="DG212" s="204"/>
      <c r="DH212" s="204"/>
      <c r="DI212" s="204"/>
    </row>
    <row r="213" spans="1:113" s="2" customFormat="1" x14ac:dyDescent="0.3">
      <c r="A213" s="204"/>
      <c r="B213" s="216"/>
      <c r="C213" s="204"/>
      <c r="D213" s="204"/>
      <c r="E213" s="228"/>
      <c r="F213" s="228"/>
      <c r="G213" s="228"/>
      <c r="H213" s="228"/>
      <c r="I213" s="228"/>
      <c r="J213" s="228"/>
      <c r="K213" s="228"/>
      <c r="L213" s="228"/>
      <c r="M213" s="223"/>
      <c r="N213" s="224"/>
      <c r="O213" s="204"/>
      <c r="P213" s="204"/>
      <c r="Q213" s="204"/>
      <c r="R213" s="191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4"/>
      <c r="AF213" s="43"/>
      <c r="AG213" s="43"/>
      <c r="AH213" s="291"/>
      <c r="AI213" s="43"/>
      <c r="AJ213" s="291"/>
      <c r="AK213" s="43"/>
      <c r="AL213" s="43"/>
      <c r="AM213" s="43"/>
      <c r="AN213" s="43"/>
      <c r="AO213" s="43"/>
      <c r="AP213" s="43"/>
      <c r="AQ213" s="59"/>
      <c r="AR213" s="59"/>
      <c r="AS213" s="59"/>
      <c r="AT213" s="43"/>
      <c r="AU213" s="59"/>
      <c r="AV213" s="59"/>
      <c r="AW213" s="59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43"/>
      <c r="BY213" s="43"/>
      <c r="BZ213" s="44"/>
      <c r="CA213" s="44"/>
      <c r="CB213" s="43"/>
      <c r="CC213" s="43"/>
      <c r="CD213" s="44"/>
      <c r="CE213" s="44"/>
      <c r="CF213" s="43"/>
      <c r="CG213" s="43"/>
      <c r="CH213" s="44"/>
      <c r="CI213" s="44"/>
      <c r="CJ213" s="43"/>
      <c r="CK213" s="43"/>
      <c r="CL213" s="43"/>
      <c r="CM213" s="44"/>
      <c r="CN213" s="44"/>
      <c r="CO213" s="45"/>
      <c r="CP213" s="43"/>
      <c r="CQ213" s="204"/>
      <c r="CR213" s="204"/>
      <c r="CS213" s="204"/>
      <c r="CT213" s="204"/>
      <c r="CU213" s="204"/>
      <c r="CV213" s="204"/>
      <c r="CW213" s="204"/>
      <c r="CX213" s="204"/>
      <c r="CY213" s="204"/>
      <c r="CZ213" s="204"/>
      <c r="DA213" s="204"/>
      <c r="DB213" s="204"/>
      <c r="DC213" s="204"/>
      <c r="DD213" s="204"/>
      <c r="DE213" s="204"/>
      <c r="DF213" s="204"/>
      <c r="DG213" s="204"/>
      <c r="DH213" s="204"/>
      <c r="DI213" s="204"/>
    </row>
    <row r="214" spans="1:113" s="2" customFormat="1" x14ac:dyDescent="0.3">
      <c r="A214" s="204"/>
      <c r="B214" s="216"/>
      <c r="C214" s="204"/>
      <c r="D214" s="204"/>
      <c r="E214" s="228"/>
      <c r="F214" s="228"/>
      <c r="G214" s="228"/>
      <c r="H214" s="228"/>
      <c r="I214" s="228"/>
      <c r="J214" s="228"/>
      <c r="K214" s="228"/>
      <c r="L214" s="228"/>
      <c r="M214" s="223"/>
      <c r="N214" s="224"/>
      <c r="O214" s="204"/>
      <c r="P214" s="204"/>
      <c r="Q214" s="204"/>
      <c r="R214" s="191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4"/>
      <c r="AF214" s="43"/>
      <c r="AG214" s="43"/>
      <c r="AH214" s="291"/>
      <c r="AI214" s="43"/>
      <c r="AJ214" s="291"/>
      <c r="AK214" s="43"/>
      <c r="AL214" s="43"/>
      <c r="AM214" s="43"/>
      <c r="AN214" s="43"/>
      <c r="AO214" s="43"/>
      <c r="AP214" s="43"/>
      <c r="AQ214" s="59"/>
      <c r="AR214" s="59"/>
      <c r="AS214" s="59"/>
      <c r="AT214" s="43"/>
      <c r="AU214" s="59"/>
      <c r="AV214" s="59"/>
      <c r="AW214" s="59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4"/>
      <c r="CA214" s="44"/>
      <c r="CB214" s="43"/>
      <c r="CC214" s="43"/>
      <c r="CD214" s="44"/>
      <c r="CE214" s="44"/>
      <c r="CF214" s="43"/>
      <c r="CG214" s="43"/>
      <c r="CH214" s="44"/>
      <c r="CI214" s="44"/>
      <c r="CJ214" s="43"/>
      <c r="CK214" s="43"/>
      <c r="CL214" s="43"/>
      <c r="CM214" s="44"/>
      <c r="CN214" s="44"/>
      <c r="CO214" s="45"/>
      <c r="CP214" s="43"/>
      <c r="CQ214" s="204"/>
      <c r="CR214" s="204"/>
      <c r="CS214" s="204"/>
      <c r="CT214" s="204"/>
      <c r="CU214" s="204"/>
      <c r="CV214" s="204"/>
      <c r="CW214" s="204"/>
      <c r="CX214" s="204"/>
      <c r="CY214" s="204"/>
      <c r="CZ214" s="204"/>
      <c r="DA214" s="204"/>
      <c r="DB214" s="204"/>
      <c r="DC214" s="204"/>
      <c r="DD214" s="204"/>
      <c r="DE214" s="204"/>
      <c r="DF214" s="204"/>
      <c r="DG214" s="204"/>
      <c r="DH214" s="204"/>
      <c r="DI214" s="204"/>
    </row>
    <row r="215" spans="1:113" s="2" customFormat="1" x14ac:dyDescent="0.3">
      <c r="A215" s="204"/>
      <c r="B215" s="216"/>
      <c r="C215" s="204"/>
      <c r="D215" s="204"/>
      <c r="E215" s="228"/>
      <c r="F215" s="228"/>
      <c r="G215" s="228"/>
      <c r="H215" s="228"/>
      <c r="I215" s="228"/>
      <c r="J215" s="228"/>
      <c r="K215" s="228"/>
      <c r="L215" s="228"/>
      <c r="M215" s="223"/>
      <c r="N215" s="224"/>
      <c r="O215" s="204"/>
      <c r="P215" s="204"/>
      <c r="Q215" s="204"/>
      <c r="R215" s="191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4"/>
      <c r="AF215" s="43"/>
      <c r="AG215" s="43"/>
      <c r="AH215" s="291"/>
      <c r="AI215" s="43"/>
      <c r="AJ215" s="291"/>
      <c r="AK215" s="43"/>
      <c r="AL215" s="43"/>
      <c r="AM215" s="43"/>
      <c r="AN215" s="43"/>
      <c r="AO215" s="43"/>
      <c r="AP215" s="43"/>
      <c r="AQ215" s="59"/>
      <c r="AR215" s="59"/>
      <c r="AS215" s="59"/>
      <c r="AT215" s="43"/>
      <c r="AU215" s="59"/>
      <c r="AV215" s="59"/>
      <c r="AW215" s="59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43"/>
      <c r="BY215" s="43"/>
      <c r="BZ215" s="44"/>
      <c r="CA215" s="44"/>
      <c r="CB215" s="43"/>
      <c r="CC215" s="43"/>
      <c r="CD215" s="44"/>
      <c r="CE215" s="44"/>
      <c r="CF215" s="43"/>
      <c r="CG215" s="43"/>
      <c r="CH215" s="44"/>
      <c r="CI215" s="44"/>
      <c r="CJ215" s="43"/>
      <c r="CK215" s="43"/>
      <c r="CL215" s="43"/>
      <c r="CM215" s="44"/>
      <c r="CN215" s="44"/>
      <c r="CO215" s="45"/>
      <c r="CP215" s="43"/>
      <c r="CQ215" s="204"/>
      <c r="CR215" s="204"/>
      <c r="CS215" s="204"/>
      <c r="CT215" s="204"/>
      <c r="CU215" s="204"/>
      <c r="CV215" s="204"/>
      <c r="CW215" s="204"/>
      <c r="CX215" s="204"/>
      <c r="CY215" s="204"/>
      <c r="CZ215" s="204"/>
      <c r="DA215" s="204"/>
      <c r="DB215" s="204"/>
      <c r="DC215" s="204"/>
      <c r="DD215" s="204"/>
      <c r="DE215" s="204"/>
      <c r="DF215" s="204"/>
      <c r="DG215" s="204"/>
      <c r="DH215" s="204"/>
      <c r="DI215" s="204"/>
    </row>
    <row r="216" spans="1:113" s="2" customFormat="1" x14ac:dyDescent="0.3">
      <c r="A216" s="204"/>
      <c r="B216" s="216"/>
      <c r="C216" s="204"/>
      <c r="D216" s="204"/>
      <c r="E216" s="228"/>
      <c r="F216" s="228"/>
      <c r="G216" s="228"/>
      <c r="H216" s="228"/>
      <c r="I216" s="228"/>
      <c r="J216" s="228"/>
      <c r="K216" s="228"/>
      <c r="L216" s="228"/>
      <c r="M216" s="223"/>
      <c r="N216" s="224"/>
      <c r="O216" s="204"/>
      <c r="P216" s="204"/>
      <c r="Q216" s="204"/>
      <c r="R216" s="191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4"/>
      <c r="AF216" s="43"/>
      <c r="AG216" s="43"/>
      <c r="AH216" s="291"/>
      <c r="AI216" s="43"/>
      <c r="AJ216" s="291"/>
      <c r="AK216" s="43"/>
      <c r="AL216" s="43"/>
      <c r="AM216" s="43"/>
      <c r="AN216" s="43"/>
      <c r="AO216" s="43"/>
      <c r="AP216" s="43"/>
      <c r="AQ216" s="59"/>
      <c r="AR216" s="59"/>
      <c r="AS216" s="59"/>
      <c r="AT216" s="43"/>
      <c r="AU216" s="59"/>
      <c r="AV216" s="59"/>
      <c r="AW216" s="59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43"/>
      <c r="BY216" s="43"/>
      <c r="BZ216" s="44"/>
      <c r="CA216" s="44"/>
      <c r="CB216" s="43"/>
      <c r="CC216" s="43"/>
      <c r="CD216" s="44"/>
      <c r="CE216" s="44"/>
      <c r="CF216" s="43"/>
      <c r="CG216" s="43"/>
      <c r="CH216" s="44"/>
      <c r="CI216" s="44"/>
      <c r="CJ216" s="43"/>
      <c r="CK216" s="43"/>
      <c r="CL216" s="43"/>
      <c r="CM216" s="44"/>
      <c r="CN216" s="44"/>
      <c r="CO216" s="45"/>
      <c r="CP216" s="43"/>
      <c r="CQ216" s="204"/>
      <c r="CR216" s="204"/>
      <c r="CS216" s="204"/>
      <c r="CT216" s="204"/>
      <c r="CU216" s="204"/>
      <c r="CV216" s="204"/>
      <c r="CW216" s="204"/>
      <c r="CX216" s="204"/>
      <c r="CY216" s="204"/>
      <c r="CZ216" s="204"/>
      <c r="DA216" s="204"/>
      <c r="DB216" s="204"/>
      <c r="DC216" s="204"/>
      <c r="DD216" s="204"/>
      <c r="DE216" s="204"/>
      <c r="DF216" s="204"/>
      <c r="DG216" s="204"/>
      <c r="DH216" s="204"/>
      <c r="DI216" s="204"/>
    </row>
    <row r="217" spans="1:113" s="2" customFormat="1" x14ac:dyDescent="0.3">
      <c r="A217" s="204"/>
      <c r="B217" s="216"/>
      <c r="C217" s="204"/>
      <c r="D217" s="204"/>
      <c r="E217" s="228"/>
      <c r="F217" s="228"/>
      <c r="G217" s="228"/>
      <c r="H217" s="228"/>
      <c r="I217" s="228"/>
      <c r="J217" s="228"/>
      <c r="K217" s="228"/>
      <c r="L217" s="228"/>
      <c r="M217" s="223"/>
      <c r="N217" s="224"/>
      <c r="O217" s="204"/>
      <c r="P217" s="204"/>
      <c r="Q217" s="204"/>
      <c r="R217" s="191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4"/>
      <c r="AF217" s="43"/>
      <c r="AG217" s="43"/>
      <c r="AH217" s="291"/>
      <c r="AI217" s="43"/>
      <c r="AJ217" s="291"/>
      <c r="AK217" s="43"/>
      <c r="AL217" s="43"/>
      <c r="AM217" s="43"/>
      <c r="AN217" s="43"/>
      <c r="AO217" s="43"/>
      <c r="AP217" s="43"/>
      <c r="AQ217" s="59"/>
      <c r="AR217" s="59"/>
      <c r="AS217" s="59"/>
      <c r="AT217" s="43"/>
      <c r="AU217" s="59"/>
      <c r="AV217" s="59"/>
      <c r="AW217" s="59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  <c r="BY217" s="43"/>
      <c r="BZ217" s="44"/>
      <c r="CA217" s="44"/>
      <c r="CB217" s="43"/>
      <c r="CC217" s="43"/>
      <c r="CD217" s="44"/>
      <c r="CE217" s="44"/>
      <c r="CF217" s="43"/>
      <c r="CG217" s="43"/>
      <c r="CH217" s="44"/>
      <c r="CI217" s="44"/>
      <c r="CJ217" s="43"/>
      <c r="CK217" s="43"/>
      <c r="CL217" s="43"/>
      <c r="CM217" s="44"/>
      <c r="CN217" s="44"/>
      <c r="CO217" s="45"/>
      <c r="CP217" s="43"/>
      <c r="CQ217" s="204"/>
      <c r="CR217" s="204"/>
      <c r="CS217" s="204"/>
      <c r="CT217" s="204"/>
      <c r="CU217" s="204"/>
      <c r="CV217" s="204"/>
      <c r="CW217" s="204"/>
      <c r="CX217" s="204"/>
      <c r="CY217" s="204"/>
      <c r="CZ217" s="204"/>
      <c r="DA217" s="204"/>
      <c r="DB217" s="204"/>
      <c r="DC217" s="204"/>
      <c r="DD217" s="204"/>
      <c r="DE217" s="204"/>
      <c r="DF217" s="204"/>
      <c r="DG217" s="204"/>
      <c r="DH217" s="204"/>
      <c r="DI217" s="204"/>
    </row>
    <row r="218" spans="1:113" s="2" customFormat="1" x14ac:dyDescent="0.3">
      <c r="A218" s="204"/>
      <c r="B218" s="216"/>
      <c r="C218" s="204"/>
      <c r="D218" s="204"/>
      <c r="E218" s="228"/>
      <c r="F218" s="228"/>
      <c r="G218" s="228"/>
      <c r="H218" s="228"/>
      <c r="I218" s="228"/>
      <c r="J218" s="228"/>
      <c r="K218" s="228"/>
      <c r="L218" s="228"/>
      <c r="M218" s="223"/>
      <c r="N218" s="224"/>
      <c r="O218" s="204"/>
      <c r="P218" s="204"/>
      <c r="Q218" s="204"/>
      <c r="R218" s="191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4"/>
      <c r="AF218" s="43"/>
      <c r="AG218" s="43"/>
      <c r="AH218" s="291"/>
      <c r="AI218" s="43"/>
      <c r="AJ218" s="291"/>
      <c r="AK218" s="43"/>
      <c r="AL218" s="43"/>
      <c r="AM218" s="43"/>
      <c r="AN218" s="43"/>
      <c r="AO218" s="43"/>
      <c r="AP218" s="43"/>
      <c r="AQ218" s="59"/>
      <c r="AR218" s="59"/>
      <c r="AS218" s="59"/>
      <c r="AT218" s="43"/>
      <c r="AU218" s="59"/>
      <c r="AV218" s="59"/>
      <c r="AW218" s="59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4"/>
      <c r="CA218" s="44"/>
      <c r="CB218" s="43"/>
      <c r="CC218" s="43"/>
      <c r="CD218" s="44"/>
      <c r="CE218" s="44"/>
      <c r="CF218" s="43"/>
      <c r="CG218" s="43"/>
      <c r="CH218" s="44"/>
      <c r="CI218" s="44"/>
      <c r="CJ218" s="43"/>
      <c r="CK218" s="43"/>
      <c r="CL218" s="43"/>
      <c r="CM218" s="44"/>
      <c r="CN218" s="44"/>
      <c r="CO218" s="45"/>
      <c r="CP218" s="43"/>
      <c r="CQ218" s="204"/>
      <c r="CR218" s="204"/>
      <c r="CS218" s="204"/>
      <c r="CT218" s="204"/>
      <c r="CU218" s="204"/>
      <c r="CV218" s="204"/>
      <c r="CW218" s="204"/>
      <c r="CX218" s="204"/>
      <c r="CY218" s="204"/>
      <c r="CZ218" s="204"/>
      <c r="DA218" s="204"/>
      <c r="DB218" s="204"/>
      <c r="DC218" s="204"/>
      <c r="DD218" s="204"/>
      <c r="DE218" s="204"/>
      <c r="DF218" s="204"/>
      <c r="DG218" s="204"/>
      <c r="DH218" s="204"/>
      <c r="DI218" s="204"/>
    </row>
    <row r="219" spans="1:113" s="2" customFormat="1" x14ac:dyDescent="0.3">
      <c r="A219" s="204"/>
      <c r="B219" s="216"/>
      <c r="C219" s="204"/>
      <c r="D219" s="204"/>
      <c r="E219" s="228"/>
      <c r="F219" s="228"/>
      <c r="G219" s="228"/>
      <c r="H219" s="228"/>
      <c r="I219" s="228"/>
      <c r="J219" s="228"/>
      <c r="K219" s="228"/>
      <c r="L219" s="228"/>
      <c r="M219" s="223"/>
      <c r="N219" s="224"/>
      <c r="O219" s="204"/>
      <c r="P219" s="204"/>
      <c r="Q219" s="204"/>
      <c r="R219" s="191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4"/>
      <c r="AF219" s="43"/>
      <c r="AG219" s="43"/>
      <c r="AH219" s="291"/>
      <c r="AI219" s="43"/>
      <c r="AJ219" s="291"/>
      <c r="AK219" s="43"/>
      <c r="AL219" s="43"/>
      <c r="AM219" s="43"/>
      <c r="AN219" s="43"/>
      <c r="AO219" s="43"/>
      <c r="AP219" s="43"/>
      <c r="AQ219" s="59"/>
      <c r="AR219" s="59"/>
      <c r="AS219" s="59"/>
      <c r="AT219" s="43"/>
      <c r="AU219" s="59"/>
      <c r="AV219" s="59"/>
      <c r="AW219" s="59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4"/>
      <c r="CA219" s="44"/>
      <c r="CB219" s="43"/>
      <c r="CC219" s="43"/>
      <c r="CD219" s="44"/>
      <c r="CE219" s="44"/>
      <c r="CF219" s="43"/>
      <c r="CG219" s="43"/>
      <c r="CH219" s="44"/>
      <c r="CI219" s="44"/>
      <c r="CJ219" s="43"/>
      <c r="CK219" s="43"/>
      <c r="CL219" s="43"/>
      <c r="CM219" s="44"/>
      <c r="CN219" s="44"/>
      <c r="CO219" s="45"/>
      <c r="CP219" s="43"/>
      <c r="CQ219" s="204"/>
      <c r="CR219" s="204"/>
      <c r="CS219" s="204"/>
      <c r="CT219" s="204"/>
      <c r="CU219" s="204"/>
      <c r="CV219" s="204"/>
      <c r="CW219" s="204"/>
      <c r="CX219" s="204"/>
      <c r="CY219" s="204"/>
      <c r="CZ219" s="204"/>
      <c r="DA219" s="204"/>
      <c r="DB219" s="204"/>
      <c r="DC219" s="204"/>
      <c r="DD219" s="204"/>
      <c r="DE219" s="204"/>
      <c r="DF219" s="204"/>
      <c r="DG219" s="204"/>
      <c r="DH219" s="204"/>
      <c r="DI219" s="204"/>
    </row>
    <row r="220" spans="1:113" s="2" customFormat="1" x14ac:dyDescent="0.3">
      <c r="A220" s="204"/>
      <c r="B220" s="216"/>
      <c r="C220" s="204"/>
      <c r="D220" s="204"/>
      <c r="E220" s="228"/>
      <c r="F220" s="228"/>
      <c r="G220" s="228"/>
      <c r="H220" s="228"/>
      <c r="I220" s="228"/>
      <c r="J220" s="228"/>
      <c r="K220" s="228"/>
      <c r="L220" s="228"/>
      <c r="M220" s="223"/>
      <c r="N220" s="224"/>
      <c r="O220" s="204"/>
      <c r="P220" s="204"/>
      <c r="Q220" s="204"/>
      <c r="R220" s="191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4"/>
      <c r="AF220" s="43"/>
      <c r="AG220" s="43"/>
      <c r="AH220" s="291"/>
      <c r="AI220" s="43"/>
      <c r="AJ220" s="291"/>
      <c r="AK220" s="43"/>
      <c r="AL220" s="43"/>
      <c r="AM220" s="43"/>
      <c r="AN220" s="43"/>
      <c r="AO220" s="43"/>
      <c r="AP220" s="43"/>
      <c r="AQ220" s="59"/>
      <c r="AR220" s="59"/>
      <c r="AS220" s="59"/>
      <c r="AT220" s="43"/>
      <c r="AU220" s="59"/>
      <c r="AV220" s="59"/>
      <c r="AW220" s="59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4"/>
      <c r="CA220" s="44"/>
      <c r="CB220" s="43"/>
      <c r="CC220" s="43"/>
      <c r="CD220" s="44"/>
      <c r="CE220" s="44"/>
      <c r="CF220" s="43"/>
      <c r="CG220" s="43"/>
      <c r="CH220" s="44"/>
      <c r="CI220" s="44"/>
      <c r="CJ220" s="43"/>
      <c r="CK220" s="43"/>
      <c r="CL220" s="43"/>
      <c r="CM220" s="44"/>
      <c r="CN220" s="44"/>
      <c r="CO220" s="45"/>
      <c r="CP220" s="43"/>
      <c r="CQ220" s="204"/>
      <c r="CR220" s="204"/>
      <c r="CS220" s="204"/>
      <c r="CT220" s="204"/>
      <c r="CU220" s="204"/>
      <c r="CV220" s="204"/>
      <c r="CW220" s="204"/>
      <c r="CX220" s="204"/>
      <c r="CY220" s="204"/>
      <c r="CZ220" s="204"/>
      <c r="DA220" s="204"/>
      <c r="DB220" s="204"/>
      <c r="DC220" s="204"/>
      <c r="DD220" s="204"/>
      <c r="DE220" s="204"/>
      <c r="DF220" s="204"/>
      <c r="DG220" s="204"/>
      <c r="DH220" s="204"/>
      <c r="DI220" s="204"/>
    </row>
    <row r="221" spans="1:113" s="2" customFormat="1" x14ac:dyDescent="0.3">
      <c r="A221" s="204"/>
      <c r="B221" s="216"/>
      <c r="C221" s="204"/>
      <c r="D221" s="204"/>
      <c r="E221" s="228"/>
      <c r="F221" s="228"/>
      <c r="G221" s="228"/>
      <c r="H221" s="228"/>
      <c r="I221" s="228"/>
      <c r="J221" s="228"/>
      <c r="K221" s="228"/>
      <c r="L221" s="228"/>
      <c r="M221" s="223"/>
      <c r="N221" s="224"/>
      <c r="O221" s="204"/>
      <c r="P221" s="204"/>
      <c r="Q221" s="204"/>
      <c r="R221" s="191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4"/>
      <c r="AF221" s="43"/>
      <c r="AG221" s="43"/>
      <c r="AH221" s="291"/>
      <c r="AI221" s="43"/>
      <c r="AJ221" s="291"/>
      <c r="AK221" s="43"/>
      <c r="AL221" s="43"/>
      <c r="AM221" s="43"/>
      <c r="AN221" s="43"/>
      <c r="AO221" s="43"/>
      <c r="AP221" s="43"/>
      <c r="AQ221" s="59"/>
      <c r="AR221" s="59"/>
      <c r="AS221" s="59"/>
      <c r="AT221" s="43"/>
      <c r="AU221" s="59"/>
      <c r="AV221" s="59"/>
      <c r="AW221" s="59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4"/>
      <c r="CA221" s="44"/>
      <c r="CB221" s="43"/>
      <c r="CC221" s="43"/>
      <c r="CD221" s="44"/>
      <c r="CE221" s="44"/>
      <c r="CF221" s="43"/>
      <c r="CG221" s="43"/>
      <c r="CH221" s="44"/>
      <c r="CI221" s="44"/>
      <c r="CJ221" s="43"/>
      <c r="CK221" s="43"/>
      <c r="CL221" s="43"/>
      <c r="CM221" s="44"/>
      <c r="CN221" s="44"/>
      <c r="CO221" s="45"/>
      <c r="CP221" s="43"/>
      <c r="CQ221" s="204"/>
      <c r="CR221" s="204"/>
      <c r="CS221" s="204"/>
      <c r="CT221" s="204"/>
      <c r="CU221" s="204"/>
      <c r="CV221" s="204"/>
      <c r="CW221" s="204"/>
      <c r="CX221" s="204"/>
      <c r="CY221" s="204"/>
      <c r="CZ221" s="204"/>
      <c r="DA221" s="204"/>
      <c r="DB221" s="204"/>
      <c r="DC221" s="204"/>
      <c r="DD221" s="204"/>
      <c r="DE221" s="204"/>
      <c r="DF221" s="204"/>
      <c r="DG221" s="204"/>
      <c r="DH221" s="204"/>
      <c r="DI221" s="204"/>
    </row>
    <row r="222" spans="1:113" s="2" customFormat="1" x14ac:dyDescent="0.3">
      <c r="A222" s="204"/>
      <c r="B222" s="216"/>
      <c r="C222" s="204"/>
      <c r="D222" s="204"/>
      <c r="E222" s="228"/>
      <c r="F222" s="228"/>
      <c r="G222" s="228"/>
      <c r="H222" s="228"/>
      <c r="I222" s="228"/>
      <c r="J222" s="228"/>
      <c r="K222" s="228"/>
      <c r="L222" s="228"/>
      <c r="M222" s="223"/>
      <c r="N222" s="224"/>
      <c r="O222" s="204"/>
      <c r="P222" s="204"/>
      <c r="Q222" s="204"/>
      <c r="R222" s="191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4"/>
      <c r="AF222" s="43"/>
      <c r="AG222" s="43"/>
      <c r="AH222" s="291"/>
      <c r="AI222" s="43"/>
      <c r="AJ222" s="291"/>
      <c r="AK222" s="43"/>
      <c r="AL222" s="43"/>
      <c r="AM222" s="43"/>
      <c r="AN222" s="43"/>
      <c r="AO222" s="43"/>
      <c r="AP222" s="43"/>
      <c r="AQ222" s="59"/>
      <c r="AR222" s="59"/>
      <c r="AS222" s="59"/>
      <c r="AT222" s="43"/>
      <c r="AU222" s="59"/>
      <c r="AV222" s="59"/>
      <c r="AW222" s="59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4"/>
      <c r="CA222" s="44"/>
      <c r="CB222" s="43"/>
      <c r="CC222" s="43"/>
      <c r="CD222" s="44"/>
      <c r="CE222" s="44"/>
      <c r="CF222" s="43"/>
      <c r="CG222" s="43"/>
      <c r="CH222" s="44"/>
      <c r="CI222" s="44"/>
      <c r="CJ222" s="43"/>
      <c r="CK222" s="43"/>
      <c r="CL222" s="43"/>
      <c r="CM222" s="44"/>
      <c r="CN222" s="44"/>
      <c r="CO222" s="45"/>
      <c r="CP222" s="43"/>
      <c r="CQ222" s="204"/>
      <c r="CR222" s="204"/>
      <c r="CS222" s="204"/>
      <c r="CT222" s="204"/>
      <c r="CU222" s="204"/>
      <c r="CV222" s="204"/>
      <c r="CW222" s="204"/>
      <c r="CX222" s="204"/>
      <c r="CY222" s="204"/>
      <c r="CZ222" s="204"/>
      <c r="DA222" s="204"/>
      <c r="DB222" s="204"/>
      <c r="DC222" s="204"/>
      <c r="DD222" s="204"/>
      <c r="DE222" s="204"/>
      <c r="DF222" s="204"/>
      <c r="DG222" s="204"/>
      <c r="DH222" s="204"/>
      <c r="DI222" s="204"/>
    </row>
    <row r="223" spans="1:113" s="2" customFormat="1" x14ac:dyDescent="0.3">
      <c r="A223" s="204"/>
      <c r="B223" s="216"/>
      <c r="C223" s="204"/>
      <c r="D223" s="204"/>
      <c r="E223" s="228"/>
      <c r="F223" s="228"/>
      <c r="G223" s="228"/>
      <c r="H223" s="228"/>
      <c r="I223" s="228"/>
      <c r="J223" s="228"/>
      <c r="K223" s="228"/>
      <c r="L223" s="228"/>
      <c r="M223" s="223"/>
      <c r="N223" s="224"/>
      <c r="O223" s="204"/>
      <c r="P223" s="204"/>
      <c r="Q223" s="204"/>
      <c r="R223" s="191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4"/>
      <c r="AF223" s="43"/>
      <c r="AG223" s="43"/>
      <c r="AH223" s="291"/>
      <c r="AI223" s="43"/>
      <c r="AJ223" s="291"/>
      <c r="AK223" s="43"/>
      <c r="AL223" s="43"/>
      <c r="AM223" s="43"/>
      <c r="AN223" s="43"/>
      <c r="AO223" s="43"/>
      <c r="AP223" s="43"/>
      <c r="AQ223" s="59"/>
      <c r="AR223" s="59"/>
      <c r="AS223" s="59"/>
      <c r="AT223" s="43"/>
      <c r="AU223" s="59"/>
      <c r="AV223" s="59"/>
      <c r="AW223" s="59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43"/>
      <c r="BY223" s="43"/>
      <c r="BZ223" s="44"/>
      <c r="CA223" s="44"/>
      <c r="CB223" s="43"/>
      <c r="CC223" s="43"/>
      <c r="CD223" s="44"/>
      <c r="CE223" s="44"/>
      <c r="CF223" s="43"/>
      <c r="CG223" s="43"/>
      <c r="CH223" s="44"/>
      <c r="CI223" s="44"/>
      <c r="CJ223" s="43"/>
      <c r="CK223" s="43"/>
      <c r="CL223" s="43"/>
      <c r="CM223" s="44"/>
      <c r="CN223" s="44"/>
      <c r="CO223" s="45"/>
      <c r="CP223" s="43"/>
      <c r="CQ223" s="204"/>
      <c r="CR223" s="204"/>
      <c r="CS223" s="204"/>
      <c r="CT223" s="204"/>
      <c r="CU223" s="204"/>
      <c r="CV223" s="204"/>
      <c r="CW223" s="204"/>
      <c r="CX223" s="204"/>
      <c r="CY223" s="204"/>
      <c r="CZ223" s="204"/>
      <c r="DA223" s="204"/>
      <c r="DB223" s="204"/>
      <c r="DC223" s="204"/>
      <c r="DD223" s="204"/>
      <c r="DE223" s="204"/>
      <c r="DF223" s="204"/>
      <c r="DG223" s="204"/>
      <c r="DH223" s="204"/>
      <c r="DI223" s="204"/>
    </row>
    <row r="224" spans="1:113" s="2" customFormat="1" x14ac:dyDescent="0.3">
      <c r="A224" s="204"/>
      <c r="B224" s="216"/>
      <c r="C224" s="204"/>
      <c r="D224" s="204"/>
      <c r="E224" s="228"/>
      <c r="F224" s="228"/>
      <c r="G224" s="228"/>
      <c r="H224" s="228"/>
      <c r="I224" s="228"/>
      <c r="J224" s="228"/>
      <c r="K224" s="228"/>
      <c r="L224" s="228"/>
      <c r="M224" s="223"/>
      <c r="N224" s="224"/>
      <c r="O224" s="204"/>
      <c r="P224" s="204"/>
      <c r="Q224" s="204"/>
      <c r="R224" s="191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4"/>
      <c r="AF224" s="43"/>
      <c r="AG224" s="43"/>
      <c r="AH224" s="291"/>
      <c r="AI224" s="43"/>
      <c r="AJ224" s="291"/>
      <c r="AK224" s="43"/>
      <c r="AL224" s="43"/>
      <c r="AM224" s="43"/>
      <c r="AN224" s="43"/>
      <c r="AO224" s="43"/>
      <c r="AP224" s="43"/>
      <c r="AQ224" s="59"/>
      <c r="AR224" s="59"/>
      <c r="AS224" s="59"/>
      <c r="AT224" s="43"/>
      <c r="AU224" s="59"/>
      <c r="AV224" s="59"/>
      <c r="AW224" s="59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  <c r="BT224" s="43"/>
      <c r="BU224" s="43"/>
      <c r="BV224" s="43"/>
      <c r="BW224" s="43"/>
      <c r="BX224" s="43"/>
      <c r="BY224" s="43"/>
      <c r="BZ224" s="44"/>
      <c r="CA224" s="44"/>
      <c r="CB224" s="43"/>
      <c r="CC224" s="43"/>
      <c r="CD224" s="44"/>
      <c r="CE224" s="44"/>
      <c r="CF224" s="43"/>
      <c r="CG224" s="43"/>
      <c r="CH224" s="44"/>
      <c r="CI224" s="44"/>
      <c r="CJ224" s="43"/>
      <c r="CK224" s="43"/>
      <c r="CL224" s="43"/>
      <c r="CM224" s="44"/>
      <c r="CN224" s="44"/>
      <c r="CO224" s="45"/>
      <c r="CP224" s="43"/>
      <c r="CQ224" s="204"/>
      <c r="CR224" s="204"/>
      <c r="CS224" s="204"/>
      <c r="CT224" s="204"/>
      <c r="CU224" s="204"/>
      <c r="CV224" s="204"/>
      <c r="CW224" s="204"/>
      <c r="CX224" s="204"/>
      <c r="CY224" s="204"/>
      <c r="CZ224" s="204"/>
      <c r="DA224" s="204"/>
      <c r="DB224" s="204"/>
      <c r="DC224" s="204"/>
      <c r="DD224" s="204"/>
      <c r="DE224" s="204"/>
      <c r="DF224" s="204"/>
      <c r="DG224" s="204"/>
      <c r="DH224" s="204"/>
      <c r="DI224" s="204"/>
    </row>
    <row r="225" spans="1:113" s="2" customFormat="1" x14ac:dyDescent="0.3">
      <c r="A225" s="204"/>
      <c r="B225" s="216"/>
      <c r="C225" s="204"/>
      <c r="D225" s="204"/>
      <c r="E225" s="228"/>
      <c r="F225" s="228"/>
      <c r="G225" s="228"/>
      <c r="H225" s="228"/>
      <c r="I225" s="228"/>
      <c r="J225" s="228"/>
      <c r="K225" s="228"/>
      <c r="L225" s="228"/>
      <c r="M225" s="223"/>
      <c r="N225" s="224"/>
      <c r="O225" s="204"/>
      <c r="P225" s="204"/>
      <c r="Q225" s="204"/>
      <c r="R225" s="191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4"/>
      <c r="AF225" s="43"/>
      <c r="AG225" s="43"/>
      <c r="AH225" s="291"/>
      <c r="AI225" s="43"/>
      <c r="AJ225" s="291"/>
      <c r="AK225" s="43"/>
      <c r="AL225" s="43"/>
      <c r="AM225" s="43"/>
      <c r="AN225" s="43"/>
      <c r="AO225" s="43"/>
      <c r="AP225" s="43"/>
      <c r="AQ225" s="59"/>
      <c r="AR225" s="59"/>
      <c r="AS225" s="59"/>
      <c r="AT225" s="43"/>
      <c r="AU225" s="59"/>
      <c r="AV225" s="59"/>
      <c r="AW225" s="59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4"/>
      <c r="CA225" s="44"/>
      <c r="CB225" s="43"/>
      <c r="CC225" s="43"/>
      <c r="CD225" s="44"/>
      <c r="CE225" s="44"/>
      <c r="CF225" s="43"/>
      <c r="CG225" s="43"/>
      <c r="CH225" s="44"/>
      <c r="CI225" s="44"/>
      <c r="CJ225" s="43"/>
      <c r="CK225" s="43"/>
      <c r="CL225" s="43"/>
      <c r="CM225" s="44"/>
      <c r="CN225" s="44"/>
      <c r="CO225" s="45"/>
      <c r="CP225" s="43"/>
      <c r="CQ225" s="204"/>
      <c r="CR225" s="204"/>
      <c r="CS225" s="204"/>
      <c r="CT225" s="204"/>
      <c r="CU225" s="204"/>
      <c r="CV225" s="204"/>
      <c r="CW225" s="204"/>
      <c r="CX225" s="204"/>
      <c r="CY225" s="204"/>
      <c r="CZ225" s="204"/>
      <c r="DA225" s="204"/>
      <c r="DB225" s="204"/>
      <c r="DC225" s="204"/>
      <c r="DD225" s="204"/>
      <c r="DE225" s="204"/>
      <c r="DF225" s="204"/>
      <c r="DG225" s="204"/>
      <c r="DH225" s="204"/>
      <c r="DI225" s="204"/>
    </row>
    <row r="226" spans="1:113" s="2" customFormat="1" x14ac:dyDescent="0.3">
      <c r="A226" s="204"/>
      <c r="B226" s="216"/>
      <c r="C226" s="204"/>
      <c r="D226" s="204"/>
      <c r="E226" s="228"/>
      <c r="F226" s="228"/>
      <c r="G226" s="228"/>
      <c r="H226" s="228"/>
      <c r="I226" s="228"/>
      <c r="J226" s="228"/>
      <c r="K226" s="228"/>
      <c r="L226" s="228"/>
      <c r="M226" s="223"/>
      <c r="N226" s="224"/>
      <c r="O226" s="204"/>
      <c r="P226" s="204"/>
      <c r="Q226" s="204"/>
      <c r="R226" s="191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4"/>
      <c r="AF226" s="43"/>
      <c r="AG226" s="43"/>
      <c r="AH226" s="291"/>
      <c r="AI226" s="43"/>
      <c r="AJ226" s="291"/>
      <c r="AK226" s="43"/>
      <c r="AL226" s="43"/>
      <c r="AM226" s="43"/>
      <c r="AN226" s="43"/>
      <c r="AO226" s="43"/>
      <c r="AP226" s="43"/>
      <c r="AQ226" s="59"/>
      <c r="AR226" s="59"/>
      <c r="AS226" s="59"/>
      <c r="AT226" s="43"/>
      <c r="AU226" s="59"/>
      <c r="AV226" s="59"/>
      <c r="AW226" s="59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43"/>
      <c r="BY226" s="43"/>
      <c r="BZ226" s="44"/>
      <c r="CA226" s="44"/>
      <c r="CB226" s="43"/>
      <c r="CC226" s="43"/>
      <c r="CD226" s="44"/>
      <c r="CE226" s="44"/>
      <c r="CF226" s="43"/>
      <c r="CG226" s="43"/>
      <c r="CH226" s="44"/>
      <c r="CI226" s="44"/>
      <c r="CJ226" s="43"/>
      <c r="CK226" s="43"/>
      <c r="CL226" s="43"/>
      <c r="CM226" s="44"/>
      <c r="CN226" s="44"/>
      <c r="CO226" s="45"/>
      <c r="CP226" s="43"/>
      <c r="CQ226" s="204"/>
      <c r="CR226" s="204"/>
      <c r="CS226" s="204"/>
      <c r="CT226" s="204"/>
      <c r="CU226" s="204"/>
      <c r="CV226" s="204"/>
      <c r="CW226" s="204"/>
      <c r="CX226" s="204"/>
      <c r="CY226" s="204"/>
      <c r="CZ226" s="204"/>
      <c r="DA226" s="204"/>
      <c r="DB226" s="204"/>
      <c r="DC226" s="204"/>
      <c r="DD226" s="204"/>
      <c r="DE226" s="204"/>
      <c r="DF226" s="204"/>
      <c r="DG226" s="204"/>
      <c r="DH226" s="204"/>
      <c r="DI226" s="204"/>
    </row>
    <row r="227" spans="1:113" s="2" customFormat="1" x14ac:dyDescent="0.3">
      <c r="A227" s="204"/>
      <c r="B227" s="216"/>
      <c r="C227" s="204"/>
      <c r="D227" s="204"/>
      <c r="E227" s="228"/>
      <c r="F227" s="228"/>
      <c r="G227" s="228"/>
      <c r="H227" s="228"/>
      <c r="I227" s="228"/>
      <c r="J227" s="228"/>
      <c r="K227" s="228"/>
      <c r="L227" s="228"/>
      <c r="M227" s="223"/>
      <c r="N227" s="224"/>
      <c r="O227" s="204"/>
      <c r="P227" s="204"/>
      <c r="Q227" s="204"/>
      <c r="R227" s="191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4"/>
      <c r="AF227" s="43"/>
      <c r="AG227" s="43"/>
      <c r="AH227" s="291"/>
      <c r="AI227" s="43"/>
      <c r="AJ227" s="291"/>
      <c r="AK227" s="43"/>
      <c r="AL227" s="43"/>
      <c r="AM227" s="43"/>
      <c r="AN227" s="43"/>
      <c r="AO227" s="43"/>
      <c r="AP227" s="43"/>
      <c r="AQ227" s="59"/>
      <c r="AR227" s="59"/>
      <c r="AS227" s="59"/>
      <c r="AT227" s="43"/>
      <c r="AU227" s="59"/>
      <c r="AV227" s="59"/>
      <c r="AW227" s="59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43"/>
      <c r="BY227" s="43"/>
      <c r="BZ227" s="44"/>
      <c r="CA227" s="44"/>
      <c r="CB227" s="43"/>
      <c r="CC227" s="43"/>
      <c r="CD227" s="44"/>
      <c r="CE227" s="44"/>
      <c r="CF227" s="43"/>
      <c r="CG227" s="43"/>
      <c r="CH227" s="44"/>
      <c r="CI227" s="44"/>
      <c r="CJ227" s="43"/>
      <c r="CK227" s="43"/>
      <c r="CL227" s="43"/>
      <c r="CM227" s="44"/>
      <c r="CN227" s="44"/>
      <c r="CO227" s="45"/>
      <c r="CP227" s="43"/>
      <c r="CQ227" s="204"/>
      <c r="CR227" s="204"/>
      <c r="CS227" s="204"/>
      <c r="CT227" s="204"/>
      <c r="CU227" s="204"/>
      <c r="CV227" s="204"/>
      <c r="CW227" s="204"/>
      <c r="CX227" s="204"/>
      <c r="CY227" s="204"/>
      <c r="CZ227" s="204"/>
      <c r="DA227" s="204"/>
      <c r="DB227" s="204"/>
      <c r="DC227" s="204"/>
      <c r="DD227" s="204"/>
      <c r="DE227" s="204"/>
      <c r="DF227" s="204"/>
      <c r="DG227" s="204"/>
      <c r="DH227" s="204"/>
      <c r="DI227" s="204"/>
    </row>
    <row r="228" spans="1:113" s="2" customFormat="1" x14ac:dyDescent="0.3">
      <c r="A228" s="204"/>
      <c r="B228" s="216"/>
      <c r="C228" s="204"/>
      <c r="D228" s="204"/>
      <c r="E228" s="228"/>
      <c r="F228" s="228"/>
      <c r="G228" s="228"/>
      <c r="H228" s="228"/>
      <c r="I228" s="228"/>
      <c r="J228" s="228"/>
      <c r="K228" s="228"/>
      <c r="L228" s="228"/>
      <c r="M228" s="223"/>
      <c r="N228" s="224"/>
      <c r="O228" s="204"/>
      <c r="P228" s="204"/>
      <c r="Q228" s="204"/>
      <c r="R228" s="191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4"/>
      <c r="AF228" s="43"/>
      <c r="AG228" s="43"/>
      <c r="AH228" s="291"/>
      <c r="AI228" s="43"/>
      <c r="AJ228" s="291"/>
      <c r="AK228" s="43"/>
      <c r="AL228" s="43"/>
      <c r="AM228" s="43"/>
      <c r="AN228" s="43"/>
      <c r="AO228" s="43"/>
      <c r="AP228" s="43"/>
      <c r="AQ228" s="59"/>
      <c r="AR228" s="59"/>
      <c r="AS228" s="59"/>
      <c r="AT228" s="43"/>
      <c r="AU228" s="59"/>
      <c r="AV228" s="59"/>
      <c r="AW228" s="59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43"/>
      <c r="BY228" s="43"/>
      <c r="BZ228" s="44"/>
      <c r="CA228" s="44"/>
      <c r="CB228" s="43"/>
      <c r="CC228" s="43"/>
      <c r="CD228" s="44"/>
      <c r="CE228" s="44"/>
      <c r="CF228" s="43"/>
      <c r="CG228" s="43"/>
      <c r="CH228" s="44"/>
      <c r="CI228" s="44"/>
      <c r="CJ228" s="43"/>
      <c r="CK228" s="43"/>
      <c r="CL228" s="43"/>
      <c r="CM228" s="44"/>
      <c r="CN228" s="44"/>
      <c r="CO228" s="45"/>
      <c r="CP228" s="43"/>
      <c r="CQ228" s="204"/>
      <c r="CR228" s="204"/>
      <c r="CS228" s="204"/>
      <c r="CT228" s="204"/>
      <c r="CU228" s="204"/>
      <c r="CV228" s="204"/>
      <c r="CW228" s="204"/>
      <c r="CX228" s="204"/>
      <c r="CY228" s="204"/>
      <c r="CZ228" s="204"/>
      <c r="DA228" s="204"/>
      <c r="DB228" s="204"/>
      <c r="DC228" s="204"/>
      <c r="DD228" s="204"/>
      <c r="DE228" s="204"/>
      <c r="DF228" s="204"/>
      <c r="DG228" s="204"/>
      <c r="DH228" s="204"/>
      <c r="DI228" s="204"/>
    </row>
    <row r="229" spans="1:113" s="2" customFormat="1" x14ac:dyDescent="0.3">
      <c r="A229" s="204"/>
      <c r="B229" s="216"/>
      <c r="C229" s="204"/>
      <c r="D229" s="204"/>
      <c r="E229" s="228"/>
      <c r="F229" s="228"/>
      <c r="G229" s="228"/>
      <c r="H229" s="228"/>
      <c r="I229" s="228"/>
      <c r="J229" s="228"/>
      <c r="K229" s="228"/>
      <c r="L229" s="228"/>
      <c r="M229" s="223"/>
      <c r="N229" s="224"/>
      <c r="O229" s="204"/>
      <c r="P229" s="204"/>
      <c r="Q229" s="204"/>
      <c r="R229" s="191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4"/>
      <c r="AF229" s="43"/>
      <c r="AG229" s="43"/>
      <c r="AH229" s="291"/>
      <c r="AI229" s="43"/>
      <c r="AJ229" s="291"/>
      <c r="AK229" s="43"/>
      <c r="AL229" s="43"/>
      <c r="AM229" s="43"/>
      <c r="AN229" s="43"/>
      <c r="AO229" s="43"/>
      <c r="AP229" s="43"/>
      <c r="AQ229" s="59"/>
      <c r="AR229" s="59"/>
      <c r="AS229" s="59"/>
      <c r="AT229" s="43"/>
      <c r="AU229" s="59"/>
      <c r="AV229" s="59"/>
      <c r="AW229" s="59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  <c r="BQ229" s="43"/>
      <c r="BR229" s="43"/>
      <c r="BS229" s="43"/>
      <c r="BT229" s="43"/>
      <c r="BU229" s="43"/>
      <c r="BV229" s="43"/>
      <c r="BW229" s="43"/>
      <c r="BX229" s="43"/>
      <c r="BY229" s="43"/>
      <c r="BZ229" s="44"/>
      <c r="CA229" s="44"/>
      <c r="CB229" s="43"/>
      <c r="CC229" s="43"/>
      <c r="CD229" s="44"/>
      <c r="CE229" s="44"/>
      <c r="CF229" s="43"/>
      <c r="CG229" s="43"/>
      <c r="CH229" s="44"/>
      <c r="CI229" s="44"/>
      <c r="CJ229" s="43"/>
      <c r="CK229" s="43"/>
      <c r="CL229" s="43"/>
      <c r="CM229" s="44"/>
      <c r="CN229" s="44"/>
      <c r="CO229" s="45"/>
      <c r="CP229" s="43"/>
      <c r="CQ229" s="204"/>
      <c r="CR229" s="204"/>
      <c r="CS229" s="204"/>
      <c r="CT229" s="204"/>
      <c r="CU229" s="204"/>
      <c r="CV229" s="204"/>
      <c r="CW229" s="204"/>
      <c r="CX229" s="204"/>
      <c r="CY229" s="204"/>
      <c r="CZ229" s="204"/>
      <c r="DA229" s="204"/>
      <c r="DB229" s="204"/>
      <c r="DC229" s="204"/>
      <c r="DD229" s="204"/>
      <c r="DE229" s="204"/>
      <c r="DF229" s="204"/>
      <c r="DG229" s="204"/>
      <c r="DH229" s="204"/>
      <c r="DI229" s="204"/>
    </row>
    <row r="230" spans="1:113" x14ac:dyDescent="0.3">
      <c r="B230" s="216"/>
      <c r="C230" s="204"/>
      <c r="D230" s="204"/>
      <c r="E230" s="228"/>
      <c r="G230" s="228"/>
      <c r="H230" s="228"/>
      <c r="I230" s="228"/>
      <c r="J230" s="228"/>
      <c r="K230" s="228"/>
      <c r="L230" s="228"/>
      <c r="M230" s="223"/>
      <c r="N230" s="224"/>
      <c r="O230" s="204"/>
      <c r="P230" s="204"/>
      <c r="Q230" s="204"/>
    </row>
  </sheetData>
  <sheetProtection algorithmName="SHA-512" hashValue="HFVVIMaTlOLrpDlAympQu6mgw+XhfT3UkdG7IZr2Vl1tDPOMr8GShBNb2mKgoramhdVkmC6oiWyGdlq8O3UgQA==" saltValue="1L735GWtxxvqEJ8xJ2ZOmQ==" spinCount="100000" sheet="1" objects="1" scenarios="1"/>
  <protectedRanges>
    <protectedRange sqref="B39:B49 B59:B84 B88:B95" name="Auswahlfelder"/>
  </protectedRanges>
  <mergeCells count="42">
    <mergeCell ref="M13:O13"/>
    <mergeCell ref="M14:O14"/>
    <mergeCell ref="E6:L6"/>
    <mergeCell ref="B5:L5"/>
    <mergeCell ref="B12:B13"/>
    <mergeCell ref="M5:O5"/>
    <mergeCell ref="C6:D6"/>
    <mergeCell ref="C7:D7"/>
    <mergeCell ref="C8:D8"/>
    <mergeCell ref="M6:O6"/>
    <mergeCell ref="E11:E12"/>
    <mergeCell ref="E7:L7"/>
    <mergeCell ref="E8:L8"/>
    <mergeCell ref="E9:L9"/>
    <mergeCell ref="M12:O12"/>
    <mergeCell ref="B127:B129"/>
    <mergeCell ref="B131:B132"/>
    <mergeCell ref="CB163:CE163"/>
    <mergeCell ref="CF163:CI163"/>
    <mergeCell ref="CJ163:CN163"/>
    <mergeCell ref="B133:B134"/>
    <mergeCell ref="E127:L127"/>
    <mergeCell ref="AH136:AI136"/>
    <mergeCell ref="AJ136:AK136"/>
    <mergeCell ref="AL136:AO136"/>
    <mergeCell ref="BX163:CA163"/>
    <mergeCell ref="CO163:CP163"/>
    <mergeCell ref="M7:O7"/>
    <mergeCell ref="CO136:CP136"/>
    <mergeCell ref="BX136:CA136"/>
    <mergeCell ref="CF136:CI136"/>
    <mergeCell ref="CB136:CE136"/>
    <mergeCell ref="CJ136:CN136"/>
    <mergeCell ref="BP163:BW163"/>
    <mergeCell ref="AZ136:BG136"/>
    <mergeCell ref="AZ163:BG163"/>
    <mergeCell ref="BP136:BW136"/>
    <mergeCell ref="BH136:BO136"/>
    <mergeCell ref="BH163:BO163"/>
    <mergeCell ref="AP136:AS136"/>
    <mergeCell ref="AT136:AW136"/>
    <mergeCell ref="AA136:AB136"/>
  </mergeCells>
  <phoneticPr fontId="5" type="noConversion"/>
  <conditionalFormatting sqref="E133:L133">
    <cfRule type="colorScale" priority="9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24 K123:L123 J122:L122 I121:L121 G121 G122:H122 G123:I123 G124:J124 G125:K125 E119:E125 H119:L120 F120:F125">
    <cfRule type="cellIs" dxfId="56" priority="231" operator="greaterThan">
      <formula>0</formula>
    </cfRule>
  </conditionalFormatting>
  <conditionalFormatting sqref="H17:H37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7:I37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7:J37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8:L118">
    <cfRule type="top10" dxfId="55" priority="187" bottom="1" rank="1"/>
    <cfRule type="colorScale" priority="1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28:L128">
    <cfRule type="colorScale" priority="568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54" priority="911" operator="lessThan">
      <formula>0</formula>
    </cfRule>
  </conditionalFormatting>
  <conditionalFormatting sqref="E129:L129">
    <cfRule type="colorScale" priority="924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53" priority="926" operator="lessThan">
      <formula>0</formula>
    </cfRule>
  </conditionalFormatting>
  <conditionalFormatting sqref="E134:L134">
    <cfRule type="colorScale" priority="948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52" priority="949" operator="lessThan">
      <formula>0</formula>
    </cfRule>
  </conditionalFormatting>
  <conditionalFormatting sqref="E39:L114">
    <cfRule type="expression" dxfId="51" priority="77">
      <formula>OR(AND($B39="x",E39="µ"),AND($B39="x",E39="enthalten"))</formula>
    </cfRule>
    <cfRule type="expression" dxfId="50" priority="78">
      <formula>OR(AND($B39="x",E39="Zusatzprodukt"),AND($B39="x",E39="Kauf nach CF"))</formula>
    </cfRule>
    <cfRule type="expression" dxfId="49" priority="186">
      <formula>AND($B39="x",E39="enthalten")</formula>
    </cfRule>
  </conditionalFormatting>
  <conditionalFormatting sqref="G119">
    <cfRule type="cellIs" dxfId="48" priority="1" operator="greaterThan">
      <formula>0</formula>
    </cfRule>
  </conditionalFormatting>
  <conditionalFormatting sqref="AD140:AD160">
    <cfRule type="colorScale" priority="9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39:B49 B88:B95 B59:B84" xr:uid="{D30EEA0A-86A0-48D5-A10D-3ABC9F2C4A3A}">
      <formula1>$B$195:$B$196</formula1>
    </dataValidation>
  </dataValidations>
  <hyperlinks>
    <hyperlink ref="M7" r:id="rId1" xr:uid="{F6FD11AA-304E-4AFD-B624-56EDA608C84C}"/>
    <hyperlink ref="E7" r:id="rId2" xr:uid="{258F6FF8-9B4F-4F08-9226-7DB580773B75}"/>
    <hyperlink ref="M7:O7" r:id="rId3" display="https://hinter-dem-schwarzen-auge.de/links/" xr:uid="{A6529F6F-A76C-406F-95FB-95A6C338D1A1}"/>
    <hyperlink ref="M13" r:id="rId4" xr:uid="{9173CFDB-1B7D-4AE6-801C-AAC0C43A9A68}"/>
    <hyperlink ref="M13:O13" r:id="rId5" display="https://hinter-dem-schwarzen-auge.de/support" xr:uid="{21CC89C3-4551-485D-B5C6-9DBE2C8831FF}"/>
  </hyperlinks>
  <pageMargins left="0.15748031496062992" right="3.937007874015748E-2" top="0.39370078740157483" bottom="0.11811023622047245" header="0.31496062992125984" footer="7.874015748031496E-2"/>
  <pageSetup paperSize="9" scale="44" fitToHeight="0" orientation="landscape" r:id="rId6"/>
  <rowBreaks count="3" manualBreakCount="3">
    <brk id="85" max="16" man="1"/>
    <brk id="135" max="16" man="1"/>
    <brk id="161" max="16" man="1"/>
  </rowBreaks>
  <drawing r:id="rId7"/>
  <legacyDrawing r:id="rId8"/>
  <tableParts count="1"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66489-48CB-4CB3-A14C-D94BAC65D341}">
  <dimension ref="B1:BK52"/>
  <sheetViews>
    <sheetView showGridLines="0" workbookViewId="0">
      <pane xSplit="2" ySplit="2" topLeftCell="P3" activePane="bottomRight" state="frozen"/>
      <selection pane="topRight" activeCell="C1" sqref="C1"/>
      <selection pane="bottomLeft" activeCell="A3" sqref="A3"/>
      <selection pane="bottomRight" activeCell="AG50" sqref="AG50"/>
    </sheetView>
  </sheetViews>
  <sheetFormatPr baseColWidth="10" defaultRowHeight="15" x14ac:dyDescent="0.25"/>
  <cols>
    <col min="3" max="3" width="14.7109375" style="3" customWidth="1"/>
    <col min="4" max="4" width="19.5703125" style="3" customWidth="1"/>
    <col min="5" max="5" width="13.140625" style="4" customWidth="1"/>
    <col min="6" max="6" width="18" style="4" customWidth="1"/>
    <col min="7" max="7" width="15.140625" style="4" customWidth="1"/>
    <col min="8" max="12" width="20" style="4" customWidth="1"/>
    <col min="13" max="16" width="11" style="4" customWidth="1"/>
    <col min="17" max="34" width="11.42578125" style="21"/>
    <col min="44" max="44" width="11.42578125" style="5"/>
    <col min="45" max="45" width="11.42578125" style="6"/>
    <col min="46" max="46" width="11.42578125" style="5"/>
    <col min="47" max="47" width="11.42578125" style="6"/>
    <col min="48" max="48" width="11.42578125" style="19"/>
    <col min="49" max="49" width="11.42578125" style="22"/>
    <col min="50" max="50" width="11.42578125" style="5"/>
    <col min="51" max="51" width="11.42578125" style="6"/>
    <col min="52" max="52" width="11.42578125" style="5"/>
    <col min="53" max="53" width="11.42578125" style="6"/>
    <col min="54" max="54" width="11.42578125" style="5"/>
    <col min="55" max="55" width="11.42578125" style="6"/>
    <col min="56" max="56" width="11.42578125" style="5"/>
    <col min="57" max="57" width="11.42578125" style="6"/>
    <col min="58" max="58" width="11.42578125" style="5"/>
    <col min="59" max="59" width="11.42578125" style="6"/>
    <col min="60" max="60" width="5.28515625" bestFit="1" customWidth="1"/>
    <col min="61" max="62" width="4.5703125" bestFit="1" customWidth="1"/>
  </cols>
  <sheetData>
    <row r="1" spans="2:62" x14ac:dyDescent="0.25">
      <c r="C1" s="3" t="s">
        <v>55</v>
      </c>
      <c r="D1" s="3" t="s">
        <v>55</v>
      </c>
      <c r="E1" s="4" t="s">
        <v>56</v>
      </c>
      <c r="F1" s="4" t="s">
        <v>56</v>
      </c>
      <c r="G1" s="4" t="s">
        <v>56</v>
      </c>
      <c r="H1" s="4" t="s">
        <v>56</v>
      </c>
      <c r="I1" s="4" t="s">
        <v>56</v>
      </c>
      <c r="J1" s="4" t="s">
        <v>56</v>
      </c>
      <c r="K1" s="4" t="s">
        <v>56</v>
      </c>
      <c r="L1" s="4" t="s">
        <v>56</v>
      </c>
      <c r="M1" s="4" t="s">
        <v>56</v>
      </c>
      <c r="N1" s="4" t="s">
        <v>56</v>
      </c>
      <c r="O1" s="4" t="s">
        <v>56</v>
      </c>
      <c r="P1" s="4" t="s">
        <v>56</v>
      </c>
      <c r="Q1" s="3" t="s">
        <v>55</v>
      </c>
      <c r="R1" s="3" t="s">
        <v>55</v>
      </c>
      <c r="S1" s="3" t="s">
        <v>55</v>
      </c>
      <c r="T1" s="3" t="s">
        <v>55</v>
      </c>
      <c r="U1" s="3" t="s">
        <v>55</v>
      </c>
      <c r="V1" s="3" t="s">
        <v>55</v>
      </c>
      <c r="W1" s="3"/>
      <c r="X1" s="3"/>
      <c r="Y1" s="3" t="s">
        <v>55</v>
      </c>
      <c r="Z1" s="3" t="s">
        <v>55</v>
      </c>
      <c r="AA1" s="3"/>
      <c r="AB1" s="3"/>
      <c r="AC1" s="3"/>
      <c r="AD1" s="3"/>
      <c r="AE1" s="3"/>
      <c r="AF1" s="3"/>
      <c r="AG1" s="3"/>
      <c r="AH1" s="3"/>
    </row>
    <row r="2" spans="2:62" x14ac:dyDescent="0.25">
      <c r="B2" t="s">
        <v>34</v>
      </c>
      <c r="C2" s="3" t="s">
        <v>113</v>
      </c>
      <c r="D2" s="3" t="s">
        <v>114</v>
      </c>
      <c r="E2" s="4" t="s">
        <v>58</v>
      </c>
      <c r="F2" s="4" t="s">
        <v>59</v>
      </c>
      <c r="G2" s="4" t="s">
        <v>60</v>
      </c>
      <c r="H2" s="4" t="s">
        <v>61</v>
      </c>
      <c r="I2" s="4" t="s">
        <v>62</v>
      </c>
      <c r="J2" s="4" t="s">
        <v>63</v>
      </c>
      <c r="K2" s="4" t="s">
        <v>84</v>
      </c>
      <c r="L2" s="4" t="s">
        <v>85</v>
      </c>
      <c r="M2" s="3" t="s">
        <v>117</v>
      </c>
      <c r="N2" s="3" t="s">
        <v>118</v>
      </c>
      <c r="O2" s="3" t="s">
        <v>178</v>
      </c>
      <c r="P2" s="3" t="s">
        <v>179</v>
      </c>
      <c r="Q2" s="3" t="s">
        <v>64</v>
      </c>
      <c r="R2" s="3" t="s">
        <v>65</v>
      </c>
      <c r="S2" s="3" t="s">
        <v>66</v>
      </c>
      <c r="T2" s="3" t="s">
        <v>67</v>
      </c>
      <c r="U2" s="3" t="s">
        <v>68</v>
      </c>
      <c r="V2" s="3" t="s">
        <v>69</v>
      </c>
      <c r="W2" s="3" t="s">
        <v>82</v>
      </c>
      <c r="X2" s="3" t="s">
        <v>83</v>
      </c>
      <c r="Y2" s="3" t="s">
        <v>115</v>
      </c>
      <c r="Z2" s="3" t="s">
        <v>116</v>
      </c>
      <c r="AA2" s="3" t="s">
        <v>152</v>
      </c>
      <c r="AB2" s="3" t="s">
        <v>153</v>
      </c>
      <c r="AC2" s="3" t="s">
        <v>176</v>
      </c>
      <c r="AD2" s="3" t="s">
        <v>177</v>
      </c>
      <c r="AE2" s="3" t="s">
        <v>208</v>
      </c>
      <c r="AF2" s="3" t="s">
        <v>214</v>
      </c>
      <c r="AG2" s="3" t="s">
        <v>220</v>
      </c>
      <c r="AH2" s="3" t="s">
        <v>221</v>
      </c>
      <c r="AI2" s="7" t="s">
        <v>70</v>
      </c>
      <c r="AJ2" s="7" t="s">
        <v>71</v>
      </c>
      <c r="AK2" s="7" t="s">
        <v>72</v>
      </c>
      <c r="AL2" s="7" t="s">
        <v>73</v>
      </c>
      <c r="AM2" s="7" t="s">
        <v>74</v>
      </c>
      <c r="AN2" s="7" t="s">
        <v>75</v>
      </c>
      <c r="AO2" s="7" t="s">
        <v>76</v>
      </c>
      <c r="AP2" s="7" t="s">
        <v>77</v>
      </c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</row>
    <row r="3" spans="2:62" x14ac:dyDescent="0.25">
      <c r="B3">
        <v>0</v>
      </c>
      <c r="C3" s="3">
        <v>0</v>
      </c>
      <c r="D3" s="3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51">
        <v>0</v>
      </c>
      <c r="AD3" s="351">
        <v>0</v>
      </c>
      <c r="AE3" s="351">
        <v>0</v>
      </c>
      <c r="AF3" s="351">
        <v>0</v>
      </c>
      <c r="AG3" s="351">
        <v>0</v>
      </c>
      <c r="AH3" s="351">
        <v>0</v>
      </c>
      <c r="AI3" s="9">
        <f>Tabelle3[[#This Row],[Nedime (€)]]/C$24</f>
        <v>0</v>
      </c>
      <c r="AJ3" s="9">
        <f>Tabelle3[[#This Row],[Nedime (Backer)]]/D$24</f>
        <v>0</v>
      </c>
      <c r="AK3" s="9">
        <f>Tabelle3[[#This Row],[Thorwal (€)]]/Q$24</f>
        <v>0</v>
      </c>
      <c r="AL3" s="9">
        <f>Tabelle3[[#This Row],[Thorwal (Backer)]]/R$24</f>
        <v>0</v>
      </c>
      <c r="AM3" s="9">
        <f>Tabelle3[[#This Row],[Werkzeuge (€)]]/S$24</f>
        <v>0</v>
      </c>
      <c r="AN3" s="9">
        <f>Tabelle3[[#This Row],[Werkzeuge (Backer)]]/T$24</f>
        <v>0</v>
      </c>
      <c r="AO3" s="9">
        <f>Tabelle3[[#This Row],[Mythos (€)]]/U$24</f>
        <v>0</v>
      </c>
      <c r="AP3" s="9">
        <f>Tabelle3[[#This Row],[Mythos (Backer)]]/V$24</f>
        <v>0</v>
      </c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</row>
    <row r="4" spans="2:62" x14ac:dyDescent="0.25">
      <c r="B4">
        <v>1</v>
      </c>
      <c r="C4" s="3">
        <v>14771</v>
      </c>
      <c r="D4" s="3">
        <v>73</v>
      </c>
      <c r="E4" s="4">
        <f>Tabelle3[[#This Row],[Thorwal (€)]]/Q24*E24</f>
        <v>15220.890095815445</v>
      </c>
      <c r="F4" s="4">
        <f>Tabelle3[[#This Row],[Thorwal (Backer)]]/R24*F24</f>
        <v>110.36895674300254</v>
      </c>
      <c r="G4" s="4">
        <f>Tabelle3[[#This Row],[Werkzeuge (€)]]/$S$24*$G$24</f>
        <v>15879.347283058034</v>
      </c>
      <c r="H4" s="4">
        <f>Tabelle3[[#This Row],[Werkzeuge (Backer)]]/$T$24*$H$24</f>
        <v>82.160052910052912</v>
      </c>
      <c r="I4" s="11">
        <f>Tabelle3[[#This Row],[Mythos (€)]]/$U$24*$I$24</f>
        <v>8008.0810450070085</v>
      </c>
      <c r="J4" s="11">
        <f>Tabelle3[[#This Row],[Mythos (Backer)]]/$V$24*$J$24</f>
        <v>48.804500703234879</v>
      </c>
      <c r="K4" s="4">
        <f>Tabelle3[[#This Row],[DSK (€)]]/$W$24*$I$24</f>
        <v>18321.783592211064</v>
      </c>
      <c r="L4" s="4">
        <f>Tabelle3[[#This Row],[DSK (Backer)]]/$X$24*$L$24</f>
        <v>103.14786585365853</v>
      </c>
      <c r="M4" s="4">
        <f>Tabelle3[[#This Row],[Mythen (€)]]/$Y$24*$M$24</f>
        <v>13585.517272030311</v>
      </c>
      <c r="N4" s="4">
        <f>Tabelle3[[#This Row],[Mythen (Backer)]]/$Z$24*$N$24</f>
        <v>80.453629032258064</v>
      </c>
      <c r="O4" s="4">
        <f>Tabelle3[[#This Row],[SOK (€)]]/$AA$24*$M$24</f>
        <v>23389.670781979032</v>
      </c>
      <c r="P4" s="4">
        <f>Tabelle3[[#This Row],[SOK (Backer)]]/$AB$24*$N$24</f>
        <v>130.33353365384616</v>
      </c>
      <c r="Q4" s="3">
        <v>65000</v>
      </c>
      <c r="R4" s="3">
        <v>500</v>
      </c>
      <c r="S4" s="3">
        <v>43437</v>
      </c>
      <c r="T4" s="3">
        <v>179</v>
      </c>
      <c r="U4" s="10">
        <f>U3+($U$6-$U$3)/3</f>
        <v>15333.333333333334</v>
      </c>
      <c r="V4" s="10">
        <f>V3+($V$6-$V$3)/3</f>
        <v>100</v>
      </c>
      <c r="W4" s="3">
        <v>36402</v>
      </c>
      <c r="X4" s="3">
        <v>195</v>
      </c>
      <c r="Y4" s="3">
        <v>19612</v>
      </c>
      <c r="Z4" s="3">
        <v>115</v>
      </c>
      <c r="AA4" s="3">
        <v>89735</v>
      </c>
      <c r="AB4" s="3">
        <v>625</v>
      </c>
      <c r="AC4" s="351">
        <f>'Schleichender Verfall'!BH140</f>
        <v>82966</v>
      </c>
      <c r="AD4" s="351">
        <f>'Schleichender Verfall'!BI140</f>
        <v>341</v>
      </c>
      <c r="AE4" s="351">
        <v>76466</v>
      </c>
      <c r="AF4" s="351">
        <v>317</v>
      </c>
      <c r="AG4" s="351">
        <f>'Schleichender Verfall'!AA140</f>
        <v>26725</v>
      </c>
      <c r="AH4" s="351">
        <f>'Schleichender Verfall'!AB140</f>
        <v>136</v>
      </c>
      <c r="AI4" s="9">
        <f>Tabelle3[[#This Row],[Nedime (€)]]/C$24</f>
        <v>0.23692357045472773</v>
      </c>
      <c r="AJ4" s="9">
        <f>Tabelle3[[#This Row],[Nedime (Backer)]]/D$24</f>
        <v>0.21037463976945245</v>
      </c>
      <c r="AK4" s="9">
        <f>Tabelle3[[#This Row],[Thorwal (€)]]/Q$24</f>
        <v>0.24413970800890922</v>
      </c>
      <c r="AL4" s="9">
        <f>Tabelle3[[#This Row],[Thorwal (Backer)]]/R$24</f>
        <v>0.31806615776081426</v>
      </c>
      <c r="AM4" s="9">
        <f>Tabelle3[[#This Row],[Werkzeuge (€)]]/S$24</f>
        <v>0.25470121554347636</v>
      </c>
      <c r="AN4" s="9">
        <f>Tabelle3[[#This Row],[Werkzeuge (Backer)]]/T$24</f>
        <v>0.23677248677248677</v>
      </c>
      <c r="AO4" s="9"/>
      <c r="AP4" s="9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</row>
    <row r="5" spans="2:62" x14ac:dyDescent="0.25">
      <c r="B5">
        <v>2</v>
      </c>
      <c r="C5" s="3">
        <v>16764</v>
      </c>
      <c r="D5" s="3">
        <v>82</v>
      </c>
      <c r="E5" s="11">
        <f t="shared" ref="E5:E13" si="0">E4+($E$14-$E$4)/10</f>
        <v>16625.895335429177</v>
      </c>
      <c r="F5" s="11">
        <f>F4+($F$14-$F$4)/10</f>
        <v>119.19847328244275</v>
      </c>
      <c r="G5" s="4">
        <f>Tabelle3[[#This Row],[Werkzeuge (€)]]/$S$24*$G$24</f>
        <v>18103.852387402443</v>
      </c>
      <c r="H5" s="4">
        <f>Tabelle3[[#This Row],[Werkzeuge (Backer)]]/$T$24*$H$24</f>
        <v>94.55291005291005</v>
      </c>
      <c r="I5" s="11">
        <f>Tabelle3[[#This Row],[Mythos (€)]]/$U$24*$I$24</f>
        <v>16016.162090014017</v>
      </c>
      <c r="J5" s="11">
        <f>Tabelle3[[#This Row],[Mythos (Backer)]]/$V$24*$J$24</f>
        <v>97.609001406469758</v>
      </c>
      <c r="K5" s="4">
        <f>Tabelle3[[#This Row],[DSK (€)]]/$W$24*$I$24</f>
        <v>21471.044620079439</v>
      </c>
      <c r="L5" s="4">
        <f>Tabelle3[[#This Row],[DSK (Backer)]]/$X$24*$L$24</f>
        <v>123.24847560975608</v>
      </c>
      <c r="M5" s="4">
        <f>Tabelle3[[#This Row],[Mythen (€)]]/$Y$24*$M$24</f>
        <v>16993.672736969591</v>
      </c>
      <c r="N5" s="4">
        <f>Tabelle3[[#This Row],[Mythen (Backer)]]/$Z$24*$N$24</f>
        <v>101.44153225806453</v>
      </c>
      <c r="O5" s="4">
        <f>Tabelle3[[#This Row],[SOK (€)]]/$AA$24*$M$24</f>
        <v>29715.190707727812</v>
      </c>
      <c r="P5" s="4">
        <f>Tabelle3[[#This Row],[SOK (Backer)]]/$AB$24*$N$24</f>
        <v>164.53305288461539</v>
      </c>
      <c r="Q5" s="10">
        <f>Q4+($Q$14-$Q$4)/10</f>
        <v>71000</v>
      </c>
      <c r="R5" s="10">
        <f>R4+($R$14-$R$4)/10</f>
        <v>540</v>
      </c>
      <c r="S5" s="3">
        <v>49522</v>
      </c>
      <c r="T5" s="3">
        <v>206</v>
      </c>
      <c r="U5" s="10">
        <f>U4+($U$6-$U$3)/3</f>
        <v>30666.666666666668</v>
      </c>
      <c r="V5" s="10">
        <f>V4+($V$6-$V$3)/3</f>
        <v>200</v>
      </c>
      <c r="W5" s="3">
        <v>42659</v>
      </c>
      <c r="X5" s="3">
        <v>233</v>
      </c>
      <c r="Y5" s="3">
        <v>24532</v>
      </c>
      <c r="Z5" s="3">
        <v>145</v>
      </c>
      <c r="AA5" s="3">
        <v>114003</v>
      </c>
      <c r="AB5" s="3">
        <v>789</v>
      </c>
      <c r="AC5" s="351">
        <f>'Schleichender Verfall'!BH141</f>
        <v>96328</v>
      </c>
      <c r="AD5" s="351">
        <f>'Schleichender Verfall'!BI141</f>
        <v>404</v>
      </c>
      <c r="AE5" s="351">
        <v>100197</v>
      </c>
      <c r="AF5" s="351">
        <v>417</v>
      </c>
      <c r="AG5" s="351">
        <f>'Schleichender Verfall'!AA141</f>
        <v>32416</v>
      </c>
      <c r="AH5" s="351">
        <f>'Schleichender Verfall'!AB141</f>
        <v>172</v>
      </c>
      <c r="AI5" s="9">
        <f>Tabelle3[[#This Row],[Nedime (€)]]/C$24</f>
        <v>0.2688908493062796</v>
      </c>
      <c r="AJ5" s="9">
        <f>Tabelle3[[#This Row],[Nedime (Backer)]]/D$24</f>
        <v>0.23631123919308358</v>
      </c>
      <c r="AK5" s="9"/>
      <c r="AL5" s="9"/>
      <c r="AM5" s="9">
        <f>Tabelle3[[#This Row],[Werkzeuge (€)]]/S$24</f>
        <v>0.29038178502530182</v>
      </c>
      <c r="AN5" s="9">
        <f>Tabelle3[[#This Row],[Werkzeuge (Backer)]]/T$24</f>
        <v>0.2724867724867725</v>
      </c>
      <c r="AO5" s="9"/>
      <c r="AP5" s="9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</row>
    <row r="6" spans="2:62" ht="15.75" thickBot="1" x14ac:dyDescent="0.3">
      <c r="B6">
        <v>3</v>
      </c>
      <c r="C6" s="3">
        <v>17674</v>
      </c>
      <c r="D6" s="3">
        <v>90</v>
      </c>
      <c r="E6" s="11">
        <f t="shared" si="0"/>
        <v>18030.90057504291</v>
      </c>
      <c r="F6" s="11">
        <f t="shared" ref="F6:F13" si="1">F5+($F$14-$F$4)/10</f>
        <v>128.02798982188295</v>
      </c>
      <c r="G6" s="4">
        <f>Tabelle3[[#This Row],[Werkzeuge (€)]]/$S$24*$G$24</f>
        <v>19704.691804316852</v>
      </c>
      <c r="H6" s="4">
        <f>Tabelle3[[#This Row],[Werkzeuge (Backer)]]/$T$24*$H$24</f>
        <v>102.81481481481481</v>
      </c>
      <c r="I6" s="4">
        <f>Tabelle3[[#This Row],[Mythos (€)]]/$U$24*$I$24</f>
        <v>24024.243135021028</v>
      </c>
      <c r="J6" s="4">
        <f>Tabelle3[[#This Row],[Mythos (Backer)]]/$V$24*$J$24</f>
        <v>146.41350210970464</v>
      </c>
      <c r="K6" s="4">
        <f>Tabelle3[[#This Row],[DSK (€)]]/$W$24*$I$24</f>
        <v>22786.717998191623</v>
      </c>
      <c r="L6" s="4">
        <f>Tabelle3[[#This Row],[DSK (Backer)]]/$X$24*$L$24</f>
        <v>131.1829268292683</v>
      </c>
      <c r="M6" s="4">
        <f>Tabelle3[[#This Row],[Mythen (€)]]/$Y$24*$M$24</f>
        <v>19168.103632181865</v>
      </c>
      <c r="N6" s="4">
        <f>Tabelle3[[#This Row],[Mythen (Backer)]]/$Z$24*$N$24</f>
        <v>113.33467741935483</v>
      </c>
      <c r="O6" s="4">
        <f>Tabelle3[[#This Row],[SOK (€)]]/$AA$24*$M$24</f>
        <v>31934.909171864809</v>
      </c>
      <c r="P6" s="4">
        <f>Tabelle3[[#This Row],[SOK (Backer)]]/$AB$24*$N$24</f>
        <v>177.67067307692307</v>
      </c>
      <c r="Q6" s="10">
        <f t="shared" ref="Q6:Q13" si="2">Q5+($Q$14-$Q$4)/10</f>
        <v>77000</v>
      </c>
      <c r="R6" s="10">
        <f t="shared" ref="R6:R13" si="3">R5+($R$14-$R$4)/10</f>
        <v>580</v>
      </c>
      <c r="S6" s="3">
        <v>53901</v>
      </c>
      <c r="T6" s="3">
        <v>224</v>
      </c>
      <c r="U6" s="3">
        <v>46000</v>
      </c>
      <c r="V6" s="3">
        <v>300</v>
      </c>
      <c r="W6" s="3">
        <v>45273</v>
      </c>
      <c r="X6" s="3">
        <v>248</v>
      </c>
      <c r="Y6" s="3">
        <v>27671</v>
      </c>
      <c r="Z6" s="3">
        <v>162</v>
      </c>
      <c r="AA6" s="3">
        <v>122519</v>
      </c>
      <c r="AB6" s="3">
        <v>852</v>
      </c>
      <c r="AC6" s="351">
        <f>'Schleichender Verfall'!BH142</f>
        <v>115147</v>
      </c>
      <c r="AD6" s="351">
        <f>'Schleichender Verfall'!BI142</f>
        <v>480</v>
      </c>
      <c r="AE6" s="351">
        <v>110488</v>
      </c>
      <c r="AF6" s="351">
        <v>458</v>
      </c>
      <c r="AG6" s="351">
        <f>'Schleichender Verfall'!AA142</f>
        <v>38191</v>
      </c>
      <c r="AH6" s="351">
        <f>'Schleichender Verfall'!AB142</f>
        <v>199</v>
      </c>
      <c r="AI6" s="9">
        <f>Tabelle3[[#This Row],[Nedime (€)]]/C$24</f>
        <v>0.2834870478787393</v>
      </c>
      <c r="AJ6" s="9">
        <f>Tabelle3[[#This Row],[Nedime (Backer)]]/D$24</f>
        <v>0.25936599423631124</v>
      </c>
      <c r="AK6" s="9"/>
      <c r="AL6" s="9"/>
      <c r="AM6" s="9">
        <f>Tabelle3[[#This Row],[Werkzeuge (€)]]/S$24</f>
        <v>0.31605889492849226</v>
      </c>
      <c r="AN6" s="9">
        <f>Tabelle3[[#This Row],[Werkzeuge (Backer)]]/T$24</f>
        <v>0.29629629629629628</v>
      </c>
      <c r="AO6" s="9">
        <f>Tabelle3[[#This Row],[Mythos (€)]]/U$24</f>
        <v>0.38534354214485567</v>
      </c>
      <c r="AP6" s="9">
        <f>Tabelle3[[#This Row],[Mythos (Backer)]]/V$24</f>
        <v>0.4219409282700422</v>
      </c>
      <c r="AS6" s="8"/>
      <c r="AU6" s="8"/>
      <c r="AW6" s="20"/>
      <c r="AY6" s="8"/>
      <c r="BA6" s="8"/>
      <c r="BC6" s="8"/>
      <c r="BE6" s="8"/>
      <c r="BG6" s="8"/>
    </row>
    <row r="7" spans="2:62" x14ac:dyDescent="0.25">
      <c r="B7">
        <v>4</v>
      </c>
      <c r="C7" s="3">
        <v>18881</v>
      </c>
      <c r="D7" s="3">
        <v>95</v>
      </c>
      <c r="E7" s="11">
        <f t="shared" si="0"/>
        <v>19435.905814656642</v>
      </c>
      <c r="F7" s="11">
        <f t="shared" si="1"/>
        <v>136.85750636132315</v>
      </c>
      <c r="G7" s="4">
        <f>Tabelle3[[#This Row],[Werkzeuge (€)]]/$S$24*$G$24</f>
        <v>21920.78875461033</v>
      </c>
      <c r="H7" s="4">
        <f>Tabelle3[[#This Row],[Werkzeuge (Backer)]]/$T$24*$H$24</f>
        <v>113.37169312169313</v>
      </c>
      <c r="I7" s="11">
        <f>Tabelle3[[#This Row],[Mythos (€)]]/$U$24*$I$24</f>
        <v>26153.174071964302</v>
      </c>
      <c r="J7" s="11">
        <f>Tabelle3[[#This Row],[Mythos (Backer)]]/$V$24*$J$24</f>
        <v>157.55719643694326</v>
      </c>
      <c r="K7" s="4">
        <f>Tabelle3[[#This Row],[DSK (€)]]/$W$24*$I$24</f>
        <v>24137.623639680951</v>
      </c>
      <c r="L7" s="4">
        <f>Tabelle3[[#This Row],[DSK (Backer)]]/$X$24*$L$24</f>
        <v>139.64634146341464</v>
      </c>
      <c r="M7" s="4">
        <f>Tabelle3[[#This Row],[Mythen (€)]]/$Y$24*$M$24</f>
        <v>21005.875268052576</v>
      </c>
      <c r="N7" s="4">
        <f>Tabelle3[[#This Row],[Mythen (Backer)]]/$Z$24*$N$24</f>
        <v>124.52822580645162</v>
      </c>
      <c r="O7" s="4">
        <f>Tabelle3[[#This Row],[SOK (€)]]/$AA$24*$M$24</f>
        <v>33260.328193722096</v>
      </c>
      <c r="P7" s="4">
        <f>Tabelle3[[#This Row],[SOK (Backer)]]/$AB$24*$N$24</f>
        <v>185.80348557692307</v>
      </c>
      <c r="Q7" s="10">
        <f t="shared" si="2"/>
        <v>83000</v>
      </c>
      <c r="R7" s="10">
        <f t="shared" si="3"/>
        <v>620</v>
      </c>
      <c r="S7" s="3">
        <v>59963</v>
      </c>
      <c r="T7" s="3">
        <v>247</v>
      </c>
      <c r="U7" s="10">
        <f>U6+($U$24-$U$6)/18</f>
        <v>50076.333333333336</v>
      </c>
      <c r="V7" s="10">
        <f>V6+($V$24-$V$6)/18</f>
        <v>322.83333333333331</v>
      </c>
      <c r="W7" s="3">
        <v>47957</v>
      </c>
      <c r="X7" s="3">
        <v>264</v>
      </c>
      <c r="Y7" s="3">
        <v>30324</v>
      </c>
      <c r="Z7" s="3">
        <v>178</v>
      </c>
      <c r="AA7" s="3">
        <v>127604</v>
      </c>
      <c r="AB7" s="3">
        <v>891</v>
      </c>
      <c r="AC7" s="351">
        <f>'Schleichender Verfall'!BH143</f>
        <v>123834</v>
      </c>
      <c r="AD7" s="351">
        <f>'Schleichender Verfall'!BI143</f>
        <v>520</v>
      </c>
      <c r="AE7" s="351">
        <v>117325</v>
      </c>
      <c r="AF7" s="351">
        <v>486</v>
      </c>
      <c r="AG7" s="351">
        <f>'Schleichender Verfall'!AA143</f>
        <v>41597</v>
      </c>
      <c r="AH7" s="351">
        <f>'Schleichender Verfall'!AB143</f>
        <v>218</v>
      </c>
      <c r="AI7" s="9">
        <f>Tabelle3[[#This Row],[Nedime (€)]]/C$24</f>
        <v>0.30284706071056222</v>
      </c>
      <c r="AJ7" s="9">
        <f>Tabelle3[[#This Row],[Nedime (Backer)]]/D$24</f>
        <v>0.2737752161383285</v>
      </c>
      <c r="AK7" s="9"/>
      <c r="AL7" s="9"/>
      <c r="AM7" s="9">
        <f>Tabelle3[[#This Row],[Werkzeuge (€)]]/S$24</f>
        <v>0.35160459948047684</v>
      </c>
      <c r="AN7" s="9">
        <f>Tabelle3[[#This Row],[Werkzeuge (Backer)]]/T$24</f>
        <v>0.32671957671957674</v>
      </c>
      <c r="AO7" s="9"/>
      <c r="AP7" s="9"/>
      <c r="AR7" s="25" t="s">
        <v>57</v>
      </c>
      <c r="AS7" s="31" t="s">
        <v>57</v>
      </c>
      <c r="AT7" s="32" t="s">
        <v>57</v>
      </c>
      <c r="AU7" s="31" t="s">
        <v>57</v>
      </c>
      <c r="AV7" s="32" t="s">
        <v>57</v>
      </c>
      <c r="AW7" s="31" t="s">
        <v>57</v>
      </c>
      <c r="AX7" s="32" t="s">
        <v>57</v>
      </c>
      <c r="AY7" s="26" t="s">
        <v>57</v>
      </c>
      <c r="AZ7" s="32" t="s">
        <v>57</v>
      </c>
      <c r="BA7" s="26" t="s">
        <v>57</v>
      </c>
      <c r="BB7" s="32" t="s">
        <v>57</v>
      </c>
      <c r="BC7" s="26" t="s">
        <v>57</v>
      </c>
      <c r="BD7" s="32" t="s">
        <v>57</v>
      </c>
      <c r="BE7" s="26" t="s">
        <v>57</v>
      </c>
      <c r="BF7" s="32" t="s">
        <v>57</v>
      </c>
      <c r="BG7" s="26" t="s">
        <v>57</v>
      </c>
      <c r="BI7" t="s">
        <v>19</v>
      </c>
      <c r="BJ7" t="s">
        <v>91</v>
      </c>
    </row>
    <row r="8" spans="2:62" x14ac:dyDescent="0.25">
      <c r="B8">
        <v>5</v>
      </c>
      <c r="C8" s="3">
        <v>21886</v>
      </c>
      <c r="D8" s="3">
        <v>111</v>
      </c>
      <c r="E8" s="11">
        <f t="shared" si="0"/>
        <v>20840.911054270375</v>
      </c>
      <c r="F8" s="11">
        <f t="shared" si="1"/>
        <v>145.68702290076334</v>
      </c>
      <c r="G8" s="4">
        <f>Tabelle3[[#This Row],[Werkzeuge (€)]]/$S$24*$G$24</f>
        <v>23073.071431503275</v>
      </c>
      <c r="H8" s="4">
        <f>Tabelle3[[#This Row],[Werkzeuge (Backer)]]/$T$24*$H$24</f>
        <v>121.17460317460316</v>
      </c>
      <c r="I8" s="11">
        <f>Tabelle3[[#This Row],[Mythos (€)]]/$U$24*$I$24</f>
        <v>28282.10500890758</v>
      </c>
      <c r="J8" s="11">
        <f>Tabelle3[[#This Row],[Mythos (Backer)]]/$V$24*$J$24</f>
        <v>168.70089076418188</v>
      </c>
      <c r="K8" s="4">
        <f>Tabelle3[[#This Row],[DSK (€)]]/$W$24*$I$24</f>
        <v>25549.934083056156</v>
      </c>
      <c r="L8" s="4">
        <f>Tabelle3[[#This Row],[DSK (Backer)]]/$X$24*$L$24</f>
        <v>148.10975609756096</v>
      </c>
      <c r="M8" s="4">
        <f>Tabelle3[[#This Row],[Mythen (€)]]/$Y$24*$M$24</f>
        <v>22597.040532882966</v>
      </c>
      <c r="N8" s="4">
        <f>Tabelle3[[#This Row],[Mythen (Backer)]]/$Z$24*$N$24</f>
        <v>133.62298387096774</v>
      </c>
      <c r="O8" s="4">
        <f>Tabelle3[[#This Row],[SOK (€)]]/$AA$24*$M$24</f>
        <v>34216.923633292638</v>
      </c>
      <c r="P8" s="4">
        <f>Tabelle3[[#This Row],[SOK (Backer)]]/$AB$24*$N$24</f>
        <v>191.43389423076923</v>
      </c>
      <c r="Q8" s="10">
        <f t="shared" si="2"/>
        <v>89000</v>
      </c>
      <c r="R8" s="10">
        <f t="shared" si="3"/>
        <v>660</v>
      </c>
      <c r="S8" s="3">
        <v>63115</v>
      </c>
      <c r="T8" s="3">
        <v>264</v>
      </c>
      <c r="U8" s="10">
        <f t="shared" ref="U8:U23" si="4">U7+($U$24-$U$6)/18</f>
        <v>54152.666666666672</v>
      </c>
      <c r="V8" s="10">
        <f t="shared" ref="V8:V23" si="5">V7+($V$24-$V$6)/18</f>
        <v>345.66666666666663</v>
      </c>
      <c r="W8" s="3">
        <v>50763</v>
      </c>
      <c r="X8" s="3">
        <v>280</v>
      </c>
      <c r="Y8" s="3">
        <v>32621</v>
      </c>
      <c r="Z8" s="3">
        <v>191</v>
      </c>
      <c r="AA8" s="3">
        <v>131274</v>
      </c>
      <c r="AB8" s="3">
        <v>918</v>
      </c>
      <c r="AC8" s="351">
        <f>'Schleichender Verfall'!BH144</f>
        <v>132002</v>
      </c>
      <c r="AD8" s="351">
        <f>'Schleichender Verfall'!BI144</f>
        <v>564</v>
      </c>
      <c r="AE8" s="351">
        <v>120368</v>
      </c>
      <c r="AF8" s="351">
        <v>497</v>
      </c>
      <c r="AG8" s="351">
        <f>'Schleichender Verfall'!AA144</f>
        <v>44358</v>
      </c>
      <c r="AH8" s="351">
        <f>'Schleichender Verfall'!AB144</f>
        <v>235</v>
      </c>
      <c r="AI8" s="9">
        <f>Tabelle3[[#This Row],[Nedime (€)]]/C$24</f>
        <v>0.35104659555698131</v>
      </c>
      <c r="AJ8" s="9">
        <f>Tabelle3[[#This Row],[Nedime (Backer)]]/D$24</f>
        <v>0.31988472622478387</v>
      </c>
      <c r="AK8" s="9"/>
      <c r="AL8" s="9"/>
      <c r="AM8" s="9">
        <f>Tabelle3[[#This Row],[Werkzeuge (€)]]/S$24</f>
        <v>0.37008695856128437</v>
      </c>
      <c r="AN8" s="9">
        <f>Tabelle3[[#This Row],[Werkzeuge (Backer)]]/T$24</f>
        <v>0.34920634920634919</v>
      </c>
      <c r="AO8" s="9"/>
      <c r="AP8" s="9"/>
      <c r="AR8" s="27" t="s">
        <v>80</v>
      </c>
      <c r="AS8" s="8" t="s">
        <v>81</v>
      </c>
      <c r="AT8" s="5" t="s">
        <v>78</v>
      </c>
      <c r="AU8" s="8" t="s">
        <v>79</v>
      </c>
      <c r="AV8" s="5" t="s">
        <v>121</v>
      </c>
      <c r="AW8" s="8" t="s">
        <v>122</v>
      </c>
      <c r="AX8" s="5" t="s">
        <v>86</v>
      </c>
      <c r="AY8" s="28" t="s">
        <v>87</v>
      </c>
      <c r="AZ8" s="5" t="s">
        <v>150</v>
      </c>
      <c r="BA8" s="28" t="s">
        <v>151</v>
      </c>
      <c r="BB8" s="5" t="s">
        <v>180</v>
      </c>
      <c r="BC8" s="28" t="s">
        <v>181</v>
      </c>
      <c r="BD8" s="5" t="s">
        <v>212</v>
      </c>
      <c r="BE8" s="28" t="s">
        <v>213</v>
      </c>
      <c r="BF8" s="5" t="s">
        <v>222</v>
      </c>
      <c r="BG8" s="28" t="s">
        <v>223</v>
      </c>
      <c r="BH8" s="16" t="s">
        <v>89</v>
      </c>
      <c r="BI8" s="23">
        <f>MIN(AR9,AT9,AV9,AX9,AZ9,BB9,BD9,BF9)</f>
        <v>2.6654928400289744</v>
      </c>
      <c r="BJ8" s="23">
        <f>MIN(AS9,AU9,AW9,AY9,BA9,BC9,BE9,BG9)</f>
        <v>2.6623999999999999</v>
      </c>
    </row>
    <row r="9" spans="2:62" x14ac:dyDescent="0.25">
      <c r="B9">
        <v>6</v>
      </c>
      <c r="C9" s="3">
        <v>22571</v>
      </c>
      <c r="D9" s="3">
        <v>114.99999999999999</v>
      </c>
      <c r="E9" s="11">
        <f t="shared" si="0"/>
        <v>22245.916293884107</v>
      </c>
      <c r="F9" s="11">
        <f t="shared" si="1"/>
        <v>154.51653944020353</v>
      </c>
      <c r="G9" s="4">
        <f>Tabelle3[[#This Row],[Werkzeuge (€)]]/$S$24*$G$24</f>
        <v>23816.279135222616</v>
      </c>
      <c r="H9" s="4">
        <f>Tabelle3[[#This Row],[Werkzeuge (Backer)]]/$T$24*$H$24</f>
        <v>125.76455026455027</v>
      </c>
      <c r="I9" s="11">
        <f>Tabelle3[[#This Row],[Mythos (€)]]/$U$24*$I$24</f>
        <v>30411.035945850857</v>
      </c>
      <c r="J9" s="11">
        <f>Tabelle3[[#This Row],[Mythos (Backer)]]/$V$24*$J$24</f>
        <v>179.84458509142053</v>
      </c>
      <c r="K9" s="4">
        <f>Tabelle3[[#This Row],[DSK (€)]]/$W$24*$I$24</f>
        <v>27093.107218975038</v>
      </c>
      <c r="L9" s="4">
        <f>Tabelle3[[#This Row],[DSK (Backer)]]/$X$24*$L$24</f>
        <v>155.51524390243904</v>
      </c>
      <c r="M9" s="4">
        <f>Tabelle3[[#This Row],[Mythen (€)]]/$Y$24*$M$24</f>
        <v>25963.633126298595</v>
      </c>
      <c r="N9" s="4">
        <f>Tabelle3[[#This Row],[Mythen (Backer)]]/$Z$24*$N$24</f>
        <v>153.91129032258064</v>
      </c>
      <c r="O9" s="4">
        <f>Tabelle3[[#This Row],[SOK (€)]]/$AA$24*$M$24</f>
        <v>35342.682680569254</v>
      </c>
      <c r="P9" s="4">
        <f>Tabelle3[[#This Row],[SOK (Backer)]]/$AB$24*$N$24</f>
        <v>198.73257211538461</v>
      </c>
      <c r="Q9" s="10">
        <f t="shared" si="2"/>
        <v>95000</v>
      </c>
      <c r="R9" s="10">
        <f t="shared" si="3"/>
        <v>700</v>
      </c>
      <c r="S9" s="3">
        <v>65148</v>
      </c>
      <c r="T9" s="3">
        <v>274</v>
      </c>
      <c r="U9" s="10">
        <f t="shared" si="4"/>
        <v>58229.000000000007</v>
      </c>
      <c r="V9" s="10">
        <f t="shared" si="5"/>
        <v>368.49999999999994</v>
      </c>
      <c r="W9" s="3">
        <v>53829</v>
      </c>
      <c r="X9" s="3">
        <v>294</v>
      </c>
      <c r="Y9" s="3">
        <v>37481</v>
      </c>
      <c r="Z9" s="3">
        <v>220</v>
      </c>
      <c r="AA9" s="3">
        <v>135593</v>
      </c>
      <c r="AB9" s="3">
        <v>953</v>
      </c>
      <c r="AC9" s="351">
        <f>'Schleichender Verfall'!BH145</f>
        <v>150957</v>
      </c>
      <c r="AD9" s="351">
        <f>'Schleichender Verfall'!BI145</f>
        <v>652</v>
      </c>
      <c r="AE9" s="351">
        <v>123198</v>
      </c>
      <c r="AF9" s="351">
        <v>508</v>
      </c>
      <c r="AG9" s="351">
        <f>'Schleichender Verfall'!AA145</f>
        <v>45558</v>
      </c>
      <c r="AH9" s="351">
        <f>'Schleichender Verfall'!AB145</f>
        <v>241</v>
      </c>
      <c r="AI9" s="9">
        <f>Tabelle3[[#This Row],[Nedime (€)]]/C$24</f>
        <v>0.36203384393295374</v>
      </c>
      <c r="AJ9" s="9">
        <f>Tabelle3[[#This Row],[Nedime (Backer)]]/D$24</f>
        <v>0.33141210374639768</v>
      </c>
      <c r="AK9" s="9"/>
      <c r="AL9" s="9"/>
      <c r="AM9" s="9">
        <f>Tabelle3[[#This Row],[Werkzeuge (€)]]/S$24</f>
        <v>0.38200784562070117</v>
      </c>
      <c r="AN9" s="9">
        <f>Tabelle3[[#This Row],[Werkzeuge (Backer)]]/T$24</f>
        <v>0.36243386243386244</v>
      </c>
      <c r="AO9" s="9"/>
      <c r="AP9" s="9"/>
      <c r="AR9" s="27">
        <f>C24/C4</f>
        <v>4.2207704285424139</v>
      </c>
      <c r="AS9" s="8">
        <f>D24/D4</f>
        <v>4.7534246575342465</v>
      </c>
      <c r="AT9" s="5">
        <f>Q24/Q4</f>
        <v>4.0960153846153844</v>
      </c>
      <c r="AU9" s="8">
        <f>R24/R4</f>
        <v>3.1440000000000001</v>
      </c>
      <c r="AV9" s="5">
        <f>S24/S4</f>
        <v>3.9261689343186683</v>
      </c>
      <c r="AW9" s="8">
        <f>T24/T4</f>
        <v>4.2234636871508382</v>
      </c>
      <c r="AX9" s="19">
        <f t="shared" ref="AX9:BG9" si="6">W24/W4</f>
        <v>3.4027800670292843</v>
      </c>
      <c r="AY9" s="47">
        <f t="shared" si="6"/>
        <v>3.3641025641025641</v>
      </c>
      <c r="AZ9" s="19">
        <f t="shared" si="6"/>
        <v>4.589078115439527</v>
      </c>
      <c r="BA9" s="47">
        <f t="shared" si="6"/>
        <v>4.3130434782608695</v>
      </c>
      <c r="BB9" s="19">
        <f t="shared" si="6"/>
        <v>2.6654928400289744</v>
      </c>
      <c r="BC9" s="47">
        <f t="shared" si="6"/>
        <v>2.6623999999999999</v>
      </c>
      <c r="BD9" s="19">
        <f t="shared" si="6"/>
        <v>4.6915121857146298</v>
      </c>
      <c r="BE9" s="47">
        <f t="shared" si="6"/>
        <v>4.8563049853372435</v>
      </c>
      <c r="BF9" s="19">
        <f t="shared" si="6"/>
        <v>3.0300656500928516</v>
      </c>
      <c r="BG9" s="47">
        <f t="shared" si="6"/>
        <v>3.0662460567823344</v>
      </c>
      <c r="BH9" t="s">
        <v>90</v>
      </c>
      <c r="BI9" s="24">
        <f>MAX(AR9,AT9,AV9,AX9,AZ9,BB9,BD9,BF9)</f>
        <v>4.6915121857146298</v>
      </c>
      <c r="BJ9" s="24">
        <f>MAX(AS9,AU9,AW9,AY9,BA9,BC9,BE9,BG9)</f>
        <v>4.8563049853372435</v>
      </c>
    </row>
    <row r="10" spans="2:62" ht="15.75" thickBot="1" x14ac:dyDescent="0.3">
      <c r="B10">
        <v>7</v>
      </c>
      <c r="C10" s="3">
        <v>24180</v>
      </c>
      <c r="D10" s="3">
        <v>124</v>
      </c>
      <c r="E10" s="11">
        <f t="shared" si="0"/>
        <v>23650.92153349784</v>
      </c>
      <c r="F10" s="11">
        <f t="shared" si="1"/>
        <v>163.34605597964372</v>
      </c>
      <c r="G10" s="4">
        <f>Tabelle3[[#This Row],[Werkzeuge (€)]]/$S$24*$G$24</f>
        <v>25452.213456001784</v>
      </c>
      <c r="H10" s="4">
        <f>Tabelle3[[#This Row],[Werkzeuge (Backer)]]/$T$24*$H$24</f>
        <v>135.40343915343917</v>
      </c>
      <c r="I10" s="11">
        <f>Tabelle3[[#This Row],[Mythos (€)]]/$U$24*$I$24</f>
        <v>32539.966882794135</v>
      </c>
      <c r="J10" s="11">
        <f>Tabelle3[[#This Row],[Mythos (Backer)]]/$V$24*$J$24</f>
        <v>190.98827941865915</v>
      </c>
      <c r="K10" s="4">
        <f>Tabelle3[[#This Row],[DSK (€)]]/$W$24*$I$24</f>
        <v>28176.247658798078</v>
      </c>
      <c r="L10" s="4">
        <f>Tabelle3[[#This Row],[DSK (Backer)]]/$X$24*$L$24</f>
        <v>162.92073170731706</v>
      </c>
      <c r="M10" s="4">
        <f>Tabelle3[[#This Row],[Mythen (€)]]/$Y$24*$M$24</f>
        <v>27863.056354929391</v>
      </c>
      <c r="N10" s="4">
        <f>Tabelle3[[#This Row],[Mythen (Backer)]]/$Z$24*$N$24</f>
        <v>165.10483870967744</v>
      </c>
      <c r="O10" s="4">
        <f>Tabelle3[[#This Row],[SOK (€)]]/$AA$24*$M$24</f>
        <v>38393.361978861816</v>
      </c>
      <c r="P10" s="4">
        <f>Tabelle3[[#This Row],[SOK (Backer)]]/$AB$24*$N$24</f>
        <v>217.70913461538461</v>
      </c>
      <c r="Q10" s="10">
        <f t="shared" si="2"/>
        <v>101000</v>
      </c>
      <c r="R10" s="10">
        <f t="shared" si="3"/>
        <v>740</v>
      </c>
      <c r="S10" s="3">
        <v>69623</v>
      </c>
      <c r="T10" s="3">
        <v>295</v>
      </c>
      <c r="U10" s="10">
        <f t="shared" si="4"/>
        <v>62305.333333333343</v>
      </c>
      <c r="V10" s="10">
        <f t="shared" si="5"/>
        <v>391.33333333333326</v>
      </c>
      <c r="W10" s="3">
        <v>55981</v>
      </c>
      <c r="X10" s="3">
        <v>308</v>
      </c>
      <c r="Y10" s="3">
        <v>40223</v>
      </c>
      <c r="Z10" s="3">
        <v>236</v>
      </c>
      <c r="AA10" s="3">
        <v>147297</v>
      </c>
      <c r="AB10" s="3">
        <v>1044</v>
      </c>
      <c r="AC10" s="351">
        <f>'Schleichender Verfall'!BH146</f>
        <v>164491</v>
      </c>
      <c r="AD10" s="351">
        <f>'Schleichender Verfall'!BI146</f>
        <v>709</v>
      </c>
      <c r="AE10" s="351">
        <v>126713</v>
      </c>
      <c r="AF10" s="351">
        <v>523</v>
      </c>
      <c r="AG10" s="3">
        <f>'Schleichender Verfall'!AA146</f>
        <v>50019</v>
      </c>
      <c r="AH10" s="3">
        <f>'Schleichender Verfall'!AB146</f>
        <v>262</v>
      </c>
      <c r="AI10" s="9">
        <f>Tabelle3[[#This Row],[Nedime (€)]]/C$24</f>
        <v>0.38784184778250058</v>
      </c>
      <c r="AJ10" s="9">
        <f>Tabelle3[[#This Row],[Nedime (Backer)]]/D$24</f>
        <v>0.35734870317002881</v>
      </c>
      <c r="AK10" s="9"/>
      <c r="AL10" s="9"/>
      <c r="AM10" s="9">
        <f>Tabelle3[[#This Row],[Werkzeuge (€)]]/S$24</f>
        <v>0.40824787001366242</v>
      </c>
      <c r="AN10" s="9">
        <f>Tabelle3[[#This Row],[Werkzeuge (Backer)]]/T$24</f>
        <v>0.39021164021164023</v>
      </c>
      <c r="AO10" s="9"/>
      <c r="AP10" s="9"/>
      <c r="AR10" s="29"/>
      <c r="AS10" s="33">
        <f>AR9-AS9</f>
        <v>-0.53265422899183257</v>
      </c>
      <c r="AT10" s="34"/>
      <c r="AU10" s="33">
        <f>AT9-AU9</f>
        <v>0.95201538461538426</v>
      </c>
      <c r="AV10" s="34"/>
      <c r="AW10" s="33">
        <f>AV9-AW9</f>
        <v>-0.29729475283216988</v>
      </c>
      <c r="AX10" s="34"/>
      <c r="AY10" s="30">
        <f>AX9-AY9</f>
        <v>3.867750292672012E-2</v>
      </c>
      <c r="AZ10" s="34"/>
      <c r="BA10" s="30">
        <f>AZ9-BA9</f>
        <v>0.2760346371786575</v>
      </c>
      <c r="BB10" s="34"/>
      <c r="BC10" s="30">
        <f>BB9-BC9</f>
        <v>3.0928400289744751E-3</v>
      </c>
      <c r="BD10" s="34"/>
      <c r="BE10" s="30">
        <f>BD9-BE9</f>
        <v>-0.16479279962261373</v>
      </c>
      <c r="BF10" s="34"/>
      <c r="BG10" s="30">
        <f>BF9-BG9</f>
        <v>-3.6180406689482858E-2</v>
      </c>
    </row>
    <row r="11" spans="2:62" ht="15.75" thickBot="1" x14ac:dyDescent="0.3">
      <c r="B11">
        <v>8</v>
      </c>
      <c r="C11" s="3">
        <v>26679</v>
      </c>
      <c r="D11" s="3">
        <v>136</v>
      </c>
      <c r="E11" s="11">
        <f t="shared" si="0"/>
        <v>25055.926773111572</v>
      </c>
      <c r="F11" s="11">
        <f t="shared" si="1"/>
        <v>172.17557251908391</v>
      </c>
      <c r="G11" s="4">
        <f>Tabelle3[[#This Row],[Werkzeuge (€)]]/$S$24*$G$24</f>
        <v>26607.420708216792</v>
      </c>
      <c r="H11" s="4">
        <f>Tabelle3[[#This Row],[Werkzeuge (Backer)]]/$T$24*$H$24</f>
        <v>141.37037037037035</v>
      </c>
      <c r="I11" s="11">
        <f>Tabelle3[[#This Row],[Mythos (€)]]/$U$24*$I$24</f>
        <v>34668.897819737409</v>
      </c>
      <c r="J11" s="11">
        <f>Tabelle3[[#This Row],[Mythos (Backer)]]/$V$24*$J$24</f>
        <v>202.13197374589777</v>
      </c>
      <c r="K11" s="4">
        <f>Tabelle3[[#This Row],[DSK (€)]]/$W$24*$I$24</f>
        <v>29592.58464655924</v>
      </c>
      <c r="L11" s="4">
        <f>Tabelle3[[#This Row],[DSK (Backer)]]/$X$24*$L$24</f>
        <v>171.91310975609755</v>
      </c>
      <c r="M11" s="4">
        <f>Tabelle3[[#This Row],[Mythen (€)]]/$Y$24*$M$24</f>
        <v>30317.343918400908</v>
      </c>
      <c r="N11" s="4">
        <f>Tabelle3[[#This Row],[Mythen (Backer)]]/$Z$24*$N$24</f>
        <v>176.99798387096777</v>
      </c>
      <c r="O11" s="4">
        <f>Tabelle3[[#This Row],[SOK (€)]]/$AA$24*$M$24</f>
        <v>40180.657599879589</v>
      </c>
      <c r="P11" s="4">
        <f>Tabelle3[[#This Row],[SOK (Backer)]]/$AB$24*$N$24</f>
        <v>226.05048076923077</v>
      </c>
      <c r="Q11" s="10">
        <f t="shared" si="2"/>
        <v>107000</v>
      </c>
      <c r="R11" s="10">
        <f t="shared" si="3"/>
        <v>780</v>
      </c>
      <c r="S11" s="3">
        <v>72783</v>
      </c>
      <c r="T11" s="3">
        <v>308</v>
      </c>
      <c r="U11" s="10">
        <f t="shared" si="4"/>
        <v>66381.666666666672</v>
      </c>
      <c r="V11" s="10">
        <f t="shared" si="5"/>
        <v>414.16666666666657</v>
      </c>
      <c r="W11" s="3">
        <v>58795</v>
      </c>
      <c r="X11" s="3">
        <v>325</v>
      </c>
      <c r="Y11" s="3">
        <v>43766</v>
      </c>
      <c r="Z11" s="3">
        <v>253</v>
      </c>
      <c r="AA11" s="3">
        <v>154154</v>
      </c>
      <c r="AB11" s="3">
        <v>1084</v>
      </c>
      <c r="AC11" s="351">
        <f>'Schleichender Verfall'!BH147</f>
        <v>182858</v>
      </c>
      <c r="AD11" s="351">
        <f>'Schleichender Verfall'!BI147</f>
        <v>792</v>
      </c>
      <c r="AE11" s="351">
        <v>130050</v>
      </c>
      <c r="AF11" s="351">
        <v>539</v>
      </c>
      <c r="AG11" s="3">
        <f>'Schleichender Verfall'!AA147</f>
        <v>54482</v>
      </c>
      <c r="AH11" s="3">
        <f>'Schleichender Verfall'!AB147</f>
        <v>287</v>
      </c>
      <c r="AI11" s="9">
        <f>Tabelle3[[#This Row],[Nedime (€)]]/C$24</f>
        <v>0.42792525463148606</v>
      </c>
      <c r="AJ11" s="9">
        <f>Tabelle3[[#This Row],[Nedime (Backer)]]/D$24</f>
        <v>0.39193083573487031</v>
      </c>
      <c r="AK11" s="9"/>
      <c r="AL11" s="9"/>
      <c r="AM11" s="9">
        <f>Tabelle3[[#This Row],[Werkzeuge (€)]]/S$24</f>
        <v>0.42677713863528416</v>
      </c>
      <c r="AN11" s="9">
        <f>Tabelle3[[#This Row],[Werkzeuge (Backer)]]/T$24</f>
        <v>0.40740740740740738</v>
      </c>
      <c r="AO11" s="9"/>
      <c r="AP11" s="9"/>
    </row>
    <row r="12" spans="2:62" x14ac:dyDescent="0.25">
      <c r="B12">
        <v>9</v>
      </c>
      <c r="C12" s="3">
        <v>27868</v>
      </c>
      <c r="D12" s="3">
        <v>142</v>
      </c>
      <c r="E12" s="11">
        <f t="shared" si="0"/>
        <v>26460.932012725305</v>
      </c>
      <c r="F12" s="11">
        <f t="shared" si="1"/>
        <v>181.00508905852411</v>
      </c>
      <c r="G12" s="4">
        <f>Tabelle3[[#This Row],[Werkzeuge (€)]]/$S$24*$G$24</f>
        <v>28001.711993010478</v>
      </c>
      <c r="H12" s="4">
        <f>Tabelle3[[#This Row],[Werkzeuge (Backer)]]/$T$24*$H$24</f>
        <v>151.00925925925927</v>
      </c>
      <c r="I12" s="11">
        <f>Tabelle3[[#This Row],[Mythos (€)]]/$U$24*$I$24</f>
        <v>36797.828756680683</v>
      </c>
      <c r="J12" s="11">
        <f>Tabelle3[[#This Row],[Mythos (Backer)]]/$V$24*$J$24</f>
        <v>213.27566807313639</v>
      </c>
      <c r="K12" s="4">
        <f>Tabelle3[[#This Row],[DSK (€)]]/$W$24*$I$24</f>
        <v>31860.032453902542</v>
      </c>
      <c r="L12" s="4">
        <f>Tabelle3[[#This Row],[DSK (Backer)]]/$X$24*$L$24</f>
        <v>185.13719512195124</v>
      </c>
      <c r="M12" s="4">
        <f>Tabelle3[[#This Row],[Mythen (€)]]/$Y$24*$M$24</f>
        <v>31844.779446895034</v>
      </c>
      <c r="N12" s="4">
        <f>Tabelle3[[#This Row],[Mythen (Backer)]]/$Z$24*$N$24</f>
        <v>186.79233870967744</v>
      </c>
      <c r="O12" s="4">
        <f>Tabelle3[[#This Row],[SOK (€)]]/$AA$24*$M$24</f>
        <v>41350.466954863958</v>
      </c>
      <c r="P12" s="4">
        <f>Tabelle3[[#This Row],[SOK (Backer)]]/$AB$24*$N$24</f>
        <v>231.88942307692307</v>
      </c>
      <c r="Q12" s="10">
        <f t="shared" si="2"/>
        <v>113000</v>
      </c>
      <c r="R12" s="10">
        <f t="shared" si="3"/>
        <v>820</v>
      </c>
      <c r="S12" s="3">
        <v>76597</v>
      </c>
      <c r="T12" s="3">
        <v>329</v>
      </c>
      <c r="U12" s="10">
        <f t="shared" si="4"/>
        <v>70458</v>
      </c>
      <c r="V12" s="10">
        <f t="shared" si="5"/>
        <v>436.99999999999989</v>
      </c>
      <c r="W12" s="3">
        <v>63300</v>
      </c>
      <c r="X12" s="3">
        <v>350</v>
      </c>
      <c r="Y12" s="3">
        <v>45971</v>
      </c>
      <c r="Z12" s="3">
        <v>267</v>
      </c>
      <c r="AA12" s="3">
        <v>158642</v>
      </c>
      <c r="AB12" s="3">
        <v>1112</v>
      </c>
      <c r="AC12" s="351">
        <f>'Schleichender Verfall'!BH148</f>
        <v>195000</v>
      </c>
      <c r="AD12" s="351">
        <f>'Schleichender Verfall'!BI148</f>
        <v>851</v>
      </c>
      <c r="AE12" s="351">
        <v>133215</v>
      </c>
      <c r="AF12" s="351">
        <v>551</v>
      </c>
      <c r="AG12" s="3">
        <f>'Schleichender Verfall'!AA148</f>
        <v>60464</v>
      </c>
      <c r="AH12" s="3">
        <f>'Schleichender Verfall'!AB148</f>
        <v>324</v>
      </c>
      <c r="AI12" s="9">
        <f>Tabelle3[[#This Row],[Nedime (€)]]/C$24</f>
        <v>0.44699655144759004</v>
      </c>
      <c r="AJ12" s="9">
        <f>Tabelle3[[#This Row],[Nedime (Backer)]]/D$24</f>
        <v>0.40922190201729108</v>
      </c>
      <c r="AK12" s="9"/>
      <c r="AL12" s="9"/>
      <c r="AM12" s="9">
        <f>Tabelle3[[#This Row],[Werkzeuge (€)]]/S$24</f>
        <v>0.44914126221846945</v>
      </c>
      <c r="AN12" s="9">
        <f>Tabelle3[[#This Row],[Werkzeuge (Backer)]]/T$24</f>
        <v>0.43518518518518517</v>
      </c>
      <c r="AO12" s="9"/>
      <c r="AP12" s="9"/>
      <c r="AR12" s="25" t="s">
        <v>88</v>
      </c>
      <c r="AS12" s="31" t="s">
        <v>88</v>
      </c>
      <c r="AT12" s="52"/>
      <c r="AU12" s="53"/>
      <c r="AV12" s="48" t="s">
        <v>88</v>
      </c>
      <c r="AW12" s="49" t="s">
        <v>88</v>
      </c>
      <c r="AX12" s="32" t="s">
        <v>88</v>
      </c>
      <c r="AY12" s="26" t="s">
        <v>88</v>
      </c>
      <c r="AZ12" s="32" t="s">
        <v>88</v>
      </c>
      <c r="BA12" s="26" t="s">
        <v>88</v>
      </c>
      <c r="BB12" s="32" t="s">
        <v>88</v>
      </c>
      <c r="BC12" s="26" t="s">
        <v>88</v>
      </c>
      <c r="BD12" s="32" t="s">
        <v>88</v>
      </c>
      <c r="BE12" s="26" t="s">
        <v>88</v>
      </c>
      <c r="BF12" s="32" t="s">
        <v>88</v>
      </c>
      <c r="BG12" s="26" t="s">
        <v>88</v>
      </c>
    </row>
    <row r="13" spans="2:62" x14ac:dyDescent="0.25">
      <c r="B13">
        <v>10</v>
      </c>
      <c r="C13" s="3">
        <v>31587</v>
      </c>
      <c r="D13" s="3">
        <v>161</v>
      </c>
      <c r="E13" s="11">
        <f t="shared" si="0"/>
        <v>27865.937252339038</v>
      </c>
      <c r="F13" s="11">
        <f t="shared" si="1"/>
        <v>189.8346055979643</v>
      </c>
      <c r="G13" s="4">
        <f>Tabelle3[[#This Row],[Werkzeuge (€)]]/$S$24*$G$24</f>
        <v>29730.867152180414</v>
      </c>
      <c r="H13" s="4">
        <f>Tabelle3[[#This Row],[Werkzeuge (Backer)]]/$T$24*$H$24</f>
        <v>160.64814814814815</v>
      </c>
      <c r="I13" s="11">
        <f>Tabelle3[[#This Row],[Mythos (€)]]/$U$24*$I$24</f>
        <v>38926.759693623957</v>
      </c>
      <c r="J13" s="11">
        <f>Tabelle3[[#This Row],[Mythos (Backer)]]/$V$24*$J$24</f>
        <v>224.41936240037501</v>
      </c>
      <c r="K13" s="4">
        <f>Tabelle3[[#This Row],[DSK (€)]]/$W$24*$I$24</f>
        <v>33546.147915522975</v>
      </c>
      <c r="L13" s="4">
        <f>Tabelle3[[#This Row],[DSK (Backer)]]/$X$24*$L$24</f>
        <v>195.1875</v>
      </c>
      <c r="M13" s="4">
        <f>Tabelle3[[#This Row],[Mythen (€)]]/$Y$24*$M$24</f>
        <v>33841.182709081011</v>
      </c>
      <c r="N13" s="4">
        <f>Tabelle3[[#This Row],[Mythen (Backer)]]/$Z$24*$N$24</f>
        <v>197.28629032258067</v>
      </c>
      <c r="O13" s="4">
        <f>Tabelle3[[#This Row],[SOK (€)]]/$AA$24*$M$24</f>
        <v>42536.958083181431</v>
      </c>
      <c r="P13" s="4">
        <f>Tabelle3[[#This Row],[SOK (Backer)]]/$AB$24*$N$24</f>
        <v>237.72836538461539</v>
      </c>
      <c r="Q13" s="10">
        <f t="shared" si="2"/>
        <v>119000</v>
      </c>
      <c r="R13" s="10">
        <f t="shared" si="3"/>
        <v>860</v>
      </c>
      <c r="S13" s="3">
        <v>81327</v>
      </c>
      <c r="T13" s="3">
        <v>350</v>
      </c>
      <c r="U13" s="10">
        <f t="shared" si="4"/>
        <v>74534.333333333328</v>
      </c>
      <c r="V13" s="10">
        <f t="shared" si="5"/>
        <v>459.8333333333332</v>
      </c>
      <c r="W13" s="3">
        <v>66650</v>
      </c>
      <c r="X13" s="3">
        <v>369</v>
      </c>
      <c r="Y13" s="3">
        <v>48853</v>
      </c>
      <c r="Z13" s="3">
        <v>282</v>
      </c>
      <c r="AA13" s="3">
        <v>163194</v>
      </c>
      <c r="AB13" s="3">
        <v>1140</v>
      </c>
      <c r="AC13" s="351">
        <f>'Schleichender Verfall'!BH149</f>
        <v>203877</v>
      </c>
      <c r="AD13" s="351">
        <f>'Schleichender Verfall'!BI149</f>
        <v>893</v>
      </c>
      <c r="AE13" s="351">
        <v>136715</v>
      </c>
      <c r="AF13" s="351">
        <v>565</v>
      </c>
      <c r="AG13" s="3">
        <f>'Schleichender Verfall'!AA149</f>
        <v>62608</v>
      </c>
      <c r="AH13" s="3">
        <f>'Schleichender Verfall'!AB149</f>
        <v>336</v>
      </c>
      <c r="AI13" s="9">
        <f>Tabelle3[[#This Row],[Nedime (€)]]/C$24</f>
        <v>0.50664848825086217</v>
      </c>
      <c r="AJ13" s="9">
        <f>Tabelle3[[#This Row],[Nedime (Backer)]]/D$24</f>
        <v>0.46397694524495675</v>
      </c>
      <c r="AK13" s="9"/>
      <c r="AL13" s="9"/>
      <c r="AM13" s="9">
        <f>Tabelle3[[#This Row],[Werkzeuge (€)]]/S$24</f>
        <v>0.47687652822488436</v>
      </c>
      <c r="AN13" s="9">
        <f>Tabelle3[[#This Row],[Werkzeuge (Backer)]]/T$24</f>
        <v>0.46296296296296297</v>
      </c>
      <c r="AO13" s="9"/>
      <c r="AP13" s="9"/>
      <c r="AR13" s="27" t="s">
        <v>80</v>
      </c>
      <c r="AS13" s="8" t="s">
        <v>81</v>
      </c>
      <c r="AT13" s="46"/>
      <c r="AU13" s="54"/>
      <c r="AV13" s="5" t="s">
        <v>121</v>
      </c>
      <c r="AW13" s="8" t="s">
        <v>122</v>
      </c>
      <c r="AX13" s="5" t="s">
        <v>86</v>
      </c>
      <c r="AY13" s="28" t="s">
        <v>87</v>
      </c>
      <c r="AZ13" s="5" t="s">
        <v>150</v>
      </c>
      <c r="BA13" s="28" t="s">
        <v>151</v>
      </c>
      <c r="BB13" s="5" t="s">
        <v>180</v>
      </c>
      <c r="BC13" s="28" t="s">
        <v>181</v>
      </c>
      <c r="BD13" s="5" t="s">
        <v>212</v>
      </c>
      <c r="BE13" s="28" t="s">
        <v>213</v>
      </c>
      <c r="BF13" s="5" t="s">
        <v>222</v>
      </c>
      <c r="BG13" s="28" t="s">
        <v>223</v>
      </c>
      <c r="BH13" s="16" t="s">
        <v>89</v>
      </c>
      <c r="BI13" s="23">
        <f>MIN(AR14,AT14,AV14,AX14,AZ14,BB14,BD14,BF14)</f>
        <v>2.0980851381104006</v>
      </c>
      <c r="BJ13" s="23">
        <f>MIN(AS14,AU14,AW14,AY14,BA14,BC14,BE14,BG14)</f>
        <v>2.1089987325728772</v>
      </c>
    </row>
    <row r="14" spans="2:62" x14ac:dyDescent="0.25">
      <c r="B14">
        <v>11</v>
      </c>
      <c r="C14" s="3">
        <v>34703</v>
      </c>
      <c r="D14" s="3">
        <v>178</v>
      </c>
      <c r="E14" s="4">
        <f>Tabelle3[[#This Row],[Thorwal (€)]]/Q24*E24</f>
        <v>29270.942491952781</v>
      </c>
      <c r="F14" s="4">
        <f>Tabelle3[[#This Row],[Thorwal (Backer)]]/R24*F24</f>
        <v>198.66412213740458</v>
      </c>
      <c r="G14" s="4">
        <f>Tabelle3[[#This Row],[Werkzeuge (€)]]/$S$24*$G$24</f>
        <v>30365.134425152894</v>
      </c>
      <c r="H14" s="4">
        <f>Tabelle3[[#This Row],[Werkzeuge (Backer)]]/$T$24*$H$24</f>
        <v>163.40211640211641</v>
      </c>
      <c r="I14" s="11">
        <f>Tabelle3[[#This Row],[Mythos (€)]]/$U$24*$I$24</f>
        <v>41055.690630567231</v>
      </c>
      <c r="J14" s="11">
        <f>Tabelle3[[#This Row],[Mythos (Backer)]]/$V$24*$J$24</f>
        <v>235.56305672761363</v>
      </c>
      <c r="K14" s="4">
        <f>Tabelle3[[#This Row],[DSK (€)]]/$W$24*$I$24</f>
        <v>35065.161785126103</v>
      </c>
      <c r="L14" s="4">
        <f>Tabelle3[[#This Row],[DSK (Backer)]]/$X$24*$L$24</f>
        <v>204.17987804878047</v>
      </c>
      <c r="M14" s="4">
        <f>Tabelle3[[#This Row],[Mythen (€)]]/$Y$24*$M$24</f>
        <v>34832.457194920054</v>
      </c>
      <c r="N14" s="4">
        <f>Tabelle3[[#This Row],[Mythen (Backer)]]/$Z$24*$N$24</f>
        <v>203.58266129032256</v>
      </c>
      <c r="O14" s="4">
        <f>Tabelle3[[#This Row],[SOK (€)]]/$AA$24*$M$24</f>
        <v>43373.913929628579</v>
      </c>
      <c r="P14" s="4">
        <f>Tabelle3[[#This Row],[SOK (Backer)]]/$AB$24*$N$24</f>
        <v>242.52463942307693</v>
      </c>
      <c r="Q14" s="3">
        <v>125000</v>
      </c>
      <c r="R14" s="3">
        <v>900</v>
      </c>
      <c r="S14" s="3">
        <v>83062</v>
      </c>
      <c r="T14" s="3">
        <v>356</v>
      </c>
      <c r="U14" s="10">
        <f t="shared" si="4"/>
        <v>78610.666666666657</v>
      </c>
      <c r="V14" s="10">
        <f t="shared" si="5"/>
        <v>482.66666666666652</v>
      </c>
      <c r="W14" s="3">
        <v>69668</v>
      </c>
      <c r="X14" s="3">
        <v>386</v>
      </c>
      <c r="Y14" s="3">
        <v>50284</v>
      </c>
      <c r="Z14" s="3">
        <v>291</v>
      </c>
      <c r="AA14" s="3">
        <v>166405</v>
      </c>
      <c r="AB14" s="3">
        <v>1163</v>
      </c>
      <c r="AC14" s="351">
        <f>'Schleichender Verfall'!BH150</f>
        <v>212794</v>
      </c>
      <c r="AD14" s="351">
        <f>'Schleichender Verfall'!BI150</f>
        <v>935</v>
      </c>
      <c r="AE14" s="351">
        <v>139670</v>
      </c>
      <c r="AF14" s="351">
        <v>582</v>
      </c>
      <c r="AG14" s="3">
        <f>'Schleichender Verfall'!AA150</f>
        <v>63707</v>
      </c>
      <c r="AH14" s="3">
        <f>'Schleichender Verfall'!AB150</f>
        <v>345</v>
      </c>
      <c r="AI14" s="9">
        <f>Tabelle3[[#This Row],[Nedime (€)]]/C$24</f>
        <v>0.55662843852754829</v>
      </c>
      <c r="AJ14" s="9">
        <f>Tabelle3[[#This Row],[Nedime (Backer)]]/D$24</f>
        <v>0.51296829971181557</v>
      </c>
      <c r="AK14" s="9">
        <f>Tabelle3[[#This Row],[Thorwal (€)]]/Q$24</f>
        <v>0.46949943847867159</v>
      </c>
      <c r="AL14" s="9">
        <f>Tabelle3[[#This Row],[Thorwal (Backer)]]/R$24</f>
        <v>0.5725190839694656</v>
      </c>
      <c r="AM14" s="9">
        <f>Tabelle3[[#This Row],[Werkzeuge (€)]]/S$24</f>
        <v>0.48705003488897097</v>
      </c>
      <c r="AN14" s="9">
        <f>Tabelle3[[#This Row],[Werkzeuge (Backer)]]/T$24</f>
        <v>0.47089947089947087</v>
      </c>
      <c r="AO14" s="9"/>
      <c r="AP14" s="9"/>
      <c r="AR14" s="27">
        <f>C24/C5</f>
        <v>3.7189811500835122</v>
      </c>
      <c r="AS14" s="8">
        <f>D24/D5</f>
        <v>4.2317073170731705</v>
      </c>
      <c r="AT14" s="46"/>
      <c r="AU14" s="54"/>
      <c r="AV14" s="19">
        <f>S24/S5</f>
        <v>3.4437421751948629</v>
      </c>
      <c r="AW14" s="20">
        <f>T24/T5</f>
        <v>3.6699029126213594</v>
      </c>
      <c r="AX14" s="19">
        <f t="shared" ref="AX14:BG14" si="7">W24/W5</f>
        <v>2.903678004641459</v>
      </c>
      <c r="AY14" s="47">
        <f t="shared" si="7"/>
        <v>2.8154506437768241</v>
      </c>
      <c r="AZ14" s="19">
        <f t="shared" si="7"/>
        <v>3.6687184086091635</v>
      </c>
      <c r="BA14" s="47">
        <f t="shared" si="7"/>
        <v>3.420689655172414</v>
      </c>
      <c r="BB14" s="19">
        <f t="shared" si="7"/>
        <v>2.0980851381104006</v>
      </c>
      <c r="BC14" s="47">
        <f t="shared" si="7"/>
        <v>2.1089987325728772</v>
      </c>
      <c r="BD14" s="19">
        <f t="shared" si="7"/>
        <v>4.0407358192841123</v>
      </c>
      <c r="BE14" s="47">
        <f t="shared" si="7"/>
        <v>4.0990099009900991</v>
      </c>
      <c r="BF14" s="19">
        <f t="shared" si="7"/>
        <v>2.3124145433496013</v>
      </c>
      <c r="BG14" s="47">
        <f t="shared" si="7"/>
        <v>2.3309352517985613</v>
      </c>
      <c r="BH14" t="s">
        <v>90</v>
      </c>
      <c r="BI14" s="24">
        <f>MAX(AR14,AT14,AV14,AX14,AZ14,BB14,BD14,BF14)</f>
        <v>4.0407358192841123</v>
      </c>
      <c r="BJ14" s="24">
        <f>MAX(AS14,AU14,AW14,AY14,BA14,BC14,BE14,BG14)</f>
        <v>4.2317073170731705</v>
      </c>
    </row>
    <row r="15" spans="2:62" ht="15.75" thickBot="1" x14ac:dyDescent="0.3">
      <c r="B15">
        <v>12</v>
      </c>
      <c r="C15" s="3">
        <v>36986</v>
      </c>
      <c r="D15" s="3">
        <v>193</v>
      </c>
      <c r="E15" s="11">
        <f>E14+($E$24-$E$14)/10</f>
        <v>32578.348242757504</v>
      </c>
      <c r="F15" s="11">
        <f>F14+($F$24-$F$14)/10</f>
        <v>213.4977099236641</v>
      </c>
      <c r="G15" s="4">
        <f>Tabelle3[[#This Row],[Werkzeuge (€)]]/$S$24*$G$24</f>
        <v>31495.482787130364</v>
      </c>
      <c r="H15" s="4">
        <f>Tabelle3[[#This Row],[Werkzeuge (Backer)]]/$T$24*$H$24</f>
        <v>170.28703703703704</v>
      </c>
      <c r="I15" s="11">
        <f>Tabelle3[[#This Row],[Mythos (€)]]/$U$24*$I$24</f>
        <v>43184.621567510505</v>
      </c>
      <c r="J15" s="11">
        <f>Tabelle3[[#This Row],[Mythos (Backer)]]/$V$24*$J$24</f>
        <v>246.70675105485225</v>
      </c>
      <c r="K15" s="4">
        <f>Tabelle3[[#This Row],[DSK (€)]]/$W$24*$I$24</f>
        <v>35879.530387186358</v>
      </c>
      <c r="L15" s="4">
        <f>Tabelle3[[#This Row],[DSK (Backer)]]/$X$24*$L$24</f>
        <v>208.94054878048783</v>
      </c>
      <c r="M15" s="4">
        <f>Tabelle3[[#This Row],[Mythen (€)]]/$Y$24*$M$24</f>
        <v>37557.596137820692</v>
      </c>
      <c r="N15" s="4">
        <f>Tabelle3[[#This Row],[Mythen (Backer)]]/$Z$24*$N$24</f>
        <v>217.57459677419357</v>
      </c>
      <c r="O15" s="4">
        <f>Tabelle3[[#This Row],[SOK (€)]]/$AA$24*$M$24</f>
        <v>44253.616820241819</v>
      </c>
      <c r="P15" s="4">
        <f>Tabelle3[[#This Row],[SOK (Backer)]]/$AB$24*$N$24</f>
        <v>247.94651442307693</v>
      </c>
      <c r="Q15" s="10">
        <f>Q14+($Q$24-$Q$14)/10</f>
        <v>139124.1</v>
      </c>
      <c r="R15" s="10">
        <f>R14+($R$24-$R$14)/10</f>
        <v>967.2</v>
      </c>
      <c r="S15" s="3">
        <v>86154</v>
      </c>
      <c r="T15" s="3">
        <v>371</v>
      </c>
      <c r="U15" s="10">
        <f t="shared" si="4"/>
        <v>82686.999999999985</v>
      </c>
      <c r="V15" s="10">
        <f t="shared" si="5"/>
        <v>505.49999999999983</v>
      </c>
      <c r="W15" s="3">
        <v>71286</v>
      </c>
      <c r="X15" s="3">
        <v>395</v>
      </c>
      <c r="Y15" s="3">
        <v>54218</v>
      </c>
      <c r="Z15" s="3">
        <v>311</v>
      </c>
      <c r="AA15" s="3">
        <v>169780</v>
      </c>
      <c r="AB15" s="3">
        <v>1189</v>
      </c>
      <c r="AC15" s="351">
        <f>'Schleichender Verfall'!BH151</f>
        <v>221864</v>
      </c>
      <c r="AD15" s="351">
        <f>'Schleichender Verfall'!BI151</f>
        <v>976</v>
      </c>
      <c r="AE15" s="351">
        <v>143057</v>
      </c>
      <c r="AF15" s="351">
        <v>598</v>
      </c>
      <c r="AG15" s="3">
        <f>'Schleichender Verfall'!AA151</f>
        <v>66094</v>
      </c>
      <c r="AH15" s="3">
        <f>'Schleichender Verfall'!AB151</f>
        <v>361</v>
      </c>
      <c r="AI15" s="9">
        <f>Tabelle3[[#This Row],[Nedime (€)]]/C$24</f>
        <v>0.59324725318790605</v>
      </c>
      <c r="AJ15" s="9">
        <f>Tabelle3[[#This Row],[Nedime (Backer)]]/D$24</f>
        <v>0.55619596541786742</v>
      </c>
      <c r="AK15" s="9"/>
      <c r="AL15" s="9"/>
      <c r="AM15" s="9">
        <f>Tabelle3[[#This Row],[Werkzeuge (€)]]/S$24</f>
        <v>0.50518057241367176</v>
      </c>
      <c r="AN15" s="9">
        <f>Tabelle3[[#This Row],[Werkzeuge (Backer)]]/T$24</f>
        <v>0.49074074074074076</v>
      </c>
      <c r="AO15" s="9"/>
      <c r="AP15" s="9"/>
      <c r="AR15" s="29"/>
      <c r="AS15" s="33">
        <f>AR14-AS14</f>
        <v>-0.51272616698965834</v>
      </c>
      <c r="AT15" s="55"/>
      <c r="AU15" s="56"/>
      <c r="AV15" s="50"/>
      <c r="AW15" s="51">
        <f>AV14-AW14</f>
        <v>-0.22616073742649645</v>
      </c>
      <c r="AX15" s="34"/>
      <c r="AY15" s="30">
        <f>AX14-AY14</f>
        <v>8.8227360864634896E-2</v>
      </c>
      <c r="AZ15" s="34"/>
      <c r="BA15" s="30">
        <f>AZ14-BA14</f>
        <v>0.24802875343674957</v>
      </c>
      <c r="BB15" s="34"/>
      <c r="BC15" s="30">
        <f>BB14-BC14</f>
        <v>-1.0913594462476528E-2</v>
      </c>
      <c r="BD15" s="34"/>
      <c r="BE15" s="30">
        <f>BD14-BE14</f>
        <v>-5.8274081705986802E-2</v>
      </c>
      <c r="BF15" s="34"/>
      <c r="BG15" s="30">
        <f>BF14-BG14</f>
        <v>-1.8520708448960033E-2</v>
      </c>
    </row>
    <row r="16" spans="2:62" ht="15.75" thickBot="1" x14ac:dyDescent="0.3">
      <c r="B16">
        <v>13</v>
      </c>
      <c r="C16" s="3">
        <v>37704</v>
      </c>
      <c r="D16" s="3">
        <v>197</v>
      </c>
      <c r="E16" s="11">
        <f t="shared" ref="E16:E23" si="8">E15+($E$24-$E$14)/10</f>
        <v>35885.753993562226</v>
      </c>
      <c r="F16" s="11">
        <f t="shared" ref="F16:F23" si="9">F15+($F$24-$F$14)/10</f>
        <v>228.33129770992366</v>
      </c>
      <c r="G16" s="4">
        <f>Tabelle3[[#This Row],[Werkzeuge (€)]]/$S$24*$G$24</f>
        <v>32558.56591670038</v>
      </c>
      <c r="H16" s="4">
        <f>Tabelle3[[#This Row],[Werkzeuge (Backer)]]/$T$24*$H$24</f>
        <v>177.17195767195767</v>
      </c>
      <c r="I16" s="11">
        <f>Tabelle3[[#This Row],[Mythos (€)]]/$U$24*$I$24</f>
        <v>45313.552504453779</v>
      </c>
      <c r="J16" s="11">
        <f>Tabelle3[[#This Row],[Mythos (Backer)]]/$V$24*$J$24</f>
        <v>257.85044538209087</v>
      </c>
      <c r="K16" s="4">
        <f>Tabelle3[[#This Row],[DSK (€)]]/$W$24*$I$24</f>
        <v>37285.297695934387</v>
      </c>
      <c r="L16" s="4">
        <f>Tabelle3[[#This Row],[DSK (Backer)]]/$X$24*$L$24</f>
        <v>216.875</v>
      </c>
      <c r="M16" s="4">
        <f>Tabelle3[[#This Row],[Mythen (€)]]/$Y$24*$M$24</f>
        <v>38504.536894034507</v>
      </c>
      <c r="N16" s="4">
        <f>Tabelle3[[#This Row],[Mythen (Backer)]]/$Z$24*$N$24</f>
        <v>223.17137096774195</v>
      </c>
      <c r="O16" s="4">
        <f>Tabelle3[[#This Row],[SOK (€)]]/$AA$24*$M$24</f>
        <v>44945.9104135659</v>
      </c>
      <c r="P16" s="4">
        <f>Tabelle3[[#This Row],[SOK (Backer)]]/$AB$24*$N$24</f>
        <v>251.28305288461539</v>
      </c>
      <c r="Q16" s="10">
        <f t="shared" ref="Q16:Q23" si="10">Q15+($Q$24-$Q$14)/10</f>
        <v>153248.20000000001</v>
      </c>
      <c r="R16" s="10">
        <f t="shared" ref="R16:R23" si="11">R15+($R$24-$R$14)/10</f>
        <v>1034.4000000000001</v>
      </c>
      <c r="S16" s="3">
        <v>89062</v>
      </c>
      <c r="T16" s="3">
        <v>386</v>
      </c>
      <c r="U16" s="10">
        <f t="shared" si="4"/>
        <v>86763.333333333314</v>
      </c>
      <c r="V16" s="10">
        <f t="shared" si="5"/>
        <v>528.33333333333314</v>
      </c>
      <c r="W16" s="3">
        <v>74079</v>
      </c>
      <c r="X16" s="3">
        <v>410</v>
      </c>
      <c r="Y16" s="3">
        <v>55585</v>
      </c>
      <c r="Z16" s="3">
        <v>319</v>
      </c>
      <c r="AA16" s="3">
        <v>172436</v>
      </c>
      <c r="AB16" s="3">
        <v>1205</v>
      </c>
      <c r="AC16" s="351">
        <f>'Schleichender Verfall'!BH152</f>
        <v>229701</v>
      </c>
      <c r="AD16" s="351">
        <f>'Schleichender Verfall'!BI152</f>
        <v>1011</v>
      </c>
      <c r="AE16" s="351">
        <v>149744</v>
      </c>
      <c r="AF16" s="351">
        <v>624</v>
      </c>
      <c r="AG16" s="3">
        <f>'Schleichender Verfall'!AA152</f>
        <v>68288</v>
      </c>
      <c r="AH16" s="3">
        <f>'Schleichender Verfall'!AB152</f>
        <v>375</v>
      </c>
      <c r="AI16" s="9">
        <f>Tabelle3[[#This Row],[Nedime (€)]]/C$24</f>
        <v>0.60476381425936321</v>
      </c>
      <c r="AJ16" s="9">
        <f>Tabelle3[[#This Row],[Nedime (Backer)]]/D$24</f>
        <v>0.56772334293948123</v>
      </c>
      <c r="AK16" s="9"/>
      <c r="AL16" s="9"/>
      <c r="AM16" s="9">
        <f>Tabelle3[[#This Row],[Werkzeuge (€)]]/S$24</f>
        <v>0.5222321904996452</v>
      </c>
      <c r="AN16" s="9">
        <f>Tabelle3[[#This Row],[Werkzeuge (Backer)]]/T$24</f>
        <v>0.51058201058201058</v>
      </c>
      <c r="AO16" s="9"/>
      <c r="AP16" s="9"/>
      <c r="AS16" s="8"/>
      <c r="AU16" s="8"/>
      <c r="AW16" s="20"/>
      <c r="AY16" s="8"/>
      <c r="BA16" s="8"/>
      <c r="BC16" s="8"/>
      <c r="BE16" s="8"/>
      <c r="BG16" s="8"/>
    </row>
    <row r="17" spans="2:63" x14ac:dyDescent="0.25">
      <c r="B17">
        <v>14</v>
      </c>
      <c r="C17" s="3">
        <v>38541</v>
      </c>
      <c r="D17" s="3">
        <v>205</v>
      </c>
      <c r="E17" s="11">
        <f t="shared" si="8"/>
        <v>39193.159744366945</v>
      </c>
      <c r="F17" s="11">
        <f t="shared" si="9"/>
        <v>243.16488549618322</v>
      </c>
      <c r="G17" s="4">
        <f>Tabelle3[[#This Row],[Werkzeuge (€)]]/$S$24*$G$24</f>
        <v>34038.035457749167</v>
      </c>
      <c r="H17" s="4">
        <f>Tabelle3[[#This Row],[Werkzeuge (Backer)]]/$T$24*$H$24</f>
        <v>184.97486772486772</v>
      </c>
      <c r="I17" s="11">
        <f>Tabelle3[[#This Row],[Mythos (€)]]/$U$24*$I$24</f>
        <v>47442.483441397053</v>
      </c>
      <c r="J17" s="11">
        <f>Tabelle3[[#This Row],[Mythos (Backer)]]/$V$24*$J$24</f>
        <v>268.99413970932949</v>
      </c>
      <c r="K17" s="4">
        <f>Tabelle3[[#This Row],[DSK (€)]]/$W$24*$I$24</f>
        <v>37955.717336196598</v>
      </c>
      <c r="L17" s="4">
        <f>Tabelle3[[#This Row],[DSK (Backer)]]/$X$24*$L$24</f>
        <v>220.57774390243901</v>
      </c>
      <c r="M17" s="4">
        <f>Tabelle3[[#This Row],[Mythen (€)]]/$Y$24*$M$24</f>
        <v>39940.534105176608</v>
      </c>
      <c r="N17" s="4">
        <f>Tabelle3[[#This Row],[Mythen (Backer)]]/$Z$24*$N$24</f>
        <v>230.86693548387095</v>
      </c>
      <c r="O17" s="4">
        <f>Tabelle3[[#This Row],[SOK (€)]]/$AA$24*$M$24</f>
        <v>46038.82721959296</v>
      </c>
      <c r="P17" s="4">
        <f>Tabelle3[[#This Row],[SOK (Backer)]]/$AB$24*$N$24</f>
        <v>256.91346153846155</v>
      </c>
      <c r="Q17" s="10">
        <f t="shared" si="10"/>
        <v>167372.30000000002</v>
      </c>
      <c r="R17" s="10">
        <f t="shared" si="11"/>
        <v>1101.6000000000001</v>
      </c>
      <c r="S17" s="3">
        <v>93109</v>
      </c>
      <c r="T17" s="3">
        <v>403</v>
      </c>
      <c r="U17" s="10">
        <f t="shared" si="4"/>
        <v>90839.666666666642</v>
      </c>
      <c r="V17" s="10">
        <f t="shared" si="5"/>
        <v>551.16666666666652</v>
      </c>
      <c r="W17" s="3">
        <v>75411</v>
      </c>
      <c r="X17" s="3">
        <v>417</v>
      </c>
      <c r="Y17" s="3">
        <v>57658</v>
      </c>
      <c r="Z17" s="3">
        <v>330</v>
      </c>
      <c r="AA17" s="3">
        <v>176629</v>
      </c>
      <c r="AB17" s="3">
        <v>1232</v>
      </c>
      <c r="AC17" s="351">
        <f>'Schleichender Verfall'!BH153</f>
        <v>240791</v>
      </c>
      <c r="AD17" s="351">
        <f>'Schleichender Verfall'!BI153</f>
        <v>1060</v>
      </c>
      <c r="AE17" s="351">
        <v>155980</v>
      </c>
      <c r="AF17" s="351">
        <v>650</v>
      </c>
      <c r="AG17" s="3">
        <f>'Schleichender Verfall'!AA153</f>
        <v>71648</v>
      </c>
      <c r="AH17" s="3">
        <f>'Schleichender Verfall'!AB153</f>
        <v>395</v>
      </c>
      <c r="AI17" s="9">
        <f>Tabelle3[[#This Row],[Nedime (€)]]/C$24</f>
        <v>0.61818910899029589</v>
      </c>
      <c r="AJ17" s="9">
        <f>Tabelle3[[#This Row],[Nedime (Backer)]]/D$24</f>
        <v>0.59077809798270897</v>
      </c>
      <c r="AK17" s="9"/>
      <c r="AL17" s="9"/>
      <c r="AM17" s="9">
        <f>Tabelle3[[#This Row],[Werkzeuge (€)]]/S$24</f>
        <v>0.54596255445904507</v>
      </c>
      <c r="AN17" s="9">
        <f>Tabelle3[[#This Row],[Werkzeuge (Backer)]]/T$24</f>
        <v>0.53306878306878303</v>
      </c>
      <c r="AO17" s="9"/>
      <c r="AP17" s="9"/>
      <c r="AR17" s="25" t="s">
        <v>155</v>
      </c>
      <c r="AS17" s="31" t="s">
        <v>155</v>
      </c>
      <c r="AT17" s="52"/>
      <c r="AU17" s="53"/>
      <c r="AV17" s="48" t="s">
        <v>155</v>
      </c>
      <c r="AW17" s="49" t="s">
        <v>155</v>
      </c>
      <c r="AX17" s="32" t="s">
        <v>155</v>
      </c>
      <c r="AY17" s="26" t="s">
        <v>155</v>
      </c>
      <c r="AZ17" s="32" t="s">
        <v>155</v>
      </c>
      <c r="BA17" s="26" t="s">
        <v>155</v>
      </c>
      <c r="BB17" s="32" t="s">
        <v>155</v>
      </c>
      <c r="BC17" s="26" t="s">
        <v>155</v>
      </c>
      <c r="BD17" s="32" t="s">
        <v>155</v>
      </c>
      <c r="BE17" s="26" t="s">
        <v>155</v>
      </c>
      <c r="BF17" s="32" t="s">
        <v>155</v>
      </c>
      <c r="BG17" s="26" t="s">
        <v>155</v>
      </c>
    </row>
    <row r="18" spans="2:63" x14ac:dyDescent="0.25">
      <c r="B18">
        <v>15</v>
      </c>
      <c r="C18" s="3">
        <v>40401</v>
      </c>
      <c r="D18" s="3">
        <v>214</v>
      </c>
      <c r="E18" s="11">
        <f t="shared" si="8"/>
        <v>42500.565495171664</v>
      </c>
      <c r="F18" s="11">
        <f t="shared" si="9"/>
        <v>257.99847328244277</v>
      </c>
      <c r="G18" s="4">
        <f>Tabelle3[[#This Row],[Werkzeuge (€)]]/$S$24*$G$24</f>
        <v>35630.832292527899</v>
      </c>
      <c r="H18" s="4">
        <f>Tabelle3[[#This Row],[Werkzeuge (Backer)]]/$T$24*$H$24</f>
        <v>193.69576719576722</v>
      </c>
      <c r="I18" s="11">
        <f>Tabelle3[[#This Row],[Mythos (€)]]/$U$24*$I$24</f>
        <v>49571.414378340327</v>
      </c>
      <c r="J18" s="11">
        <f>Tabelle3[[#This Row],[Mythos (Backer)]]/$V$24*$J$24</f>
        <v>280.13783403656817</v>
      </c>
      <c r="K18" s="4">
        <f>Tabelle3[[#This Row],[DSK (€)]]/$W$24*$I$24</f>
        <v>38763.542803629673</v>
      </c>
      <c r="L18" s="4">
        <f>Tabelle3[[#This Row],[DSK (Backer)]]/$X$24*$L$24</f>
        <v>225.86737804878047</v>
      </c>
      <c r="M18" s="4">
        <f>Tabelle3[[#This Row],[Mythen (€)]]/$Y$24*$M$24</f>
        <v>40976.835035166274</v>
      </c>
      <c r="N18" s="4">
        <f>Tabelle3[[#This Row],[Mythen (Backer)]]/$Z$24*$N$24</f>
        <v>235.76411290322582</v>
      </c>
      <c r="O18" s="4">
        <f>Tabelle3[[#This Row],[SOK (€)]]/$AA$24*$M$24</f>
        <v>49073.867355385722</v>
      </c>
      <c r="P18" s="4">
        <f>Tabelle3[[#This Row],[SOK (Backer)]]/$AB$24*$N$24</f>
        <v>273.8046875</v>
      </c>
      <c r="Q18" s="10">
        <f t="shared" si="10"/>
        <v>181496.40000000002</v>
      </c>
      <c r="R18" s="10">
        <f t="shared" si="11"/>
        <v>1168.8000000000002</v>
      </c>
      <c r="S18" s="3">
        <v>97466</v>
      </c>
      <c r="T18" s="3">
        <v>422</v>
      </c>
      <c r="U18" s="10">
        <f t="shared" si="4"/>
        <v>94915.999999999971</v>
      </c>
      <c r="V18" s="10">
        <f t="shared" si="5"/>
        <v>573.99999999999989</v>
      </c>
      <c r="W18" s="3">
        <v>77016</v>
      </c>
      <c r="X18" s="3">
        <v>427</v>
      </c>
      <c r="Y18" s="3">
        <v>59154</v>
      </c>
      <c r="Z18" s="3">
        <v>337</v>
      </c>
      <c r="AA18" s="3">
        <v>188273</v>
      </c>
      <c r="AB18" s="3">
        <v>1313</v>
      </c>
      <c r="AC18" s="351">
        <f>'Schleichender Verfall'!BH154</f>
        <v>249000</v>
      </c>
      <c r="AD18" s="351">
        <f>'Schleichender Verfall'!BI154</f>
        <v>1096</v>
      </c>
      <c r="AE18" s="351">
        <v>165152</v>
      </c>
      <c r="AF18" s="351">
        <v>690</v>
      </c>
      <c r="AG18" s="3">
        <f>'Schleichender Verfall'!AA154</f>
        <v>75191</v>
      </c>
      <c r="AH18" s="3">
        <f>'Schleichender Verfall'!AB154</f>
        <v>415</v>
      </c>
      <c r="AI18" s="9">
        <f>Tabelle3[[#This Row],[Nedime (€)]]/C$24</f>
        <v>0.64802309728125751</v>
      </c>
      <c r="AJ18" s="9">
        <f>Tabelle3[[#This Row],[Nedime (Backer)]]/D$24</f>
        <v>0.61671469740634011</v>
      </c>
      <c r="AK18" s="9"/>
      <c r="AL18" s="9"/>
      <c r="AM18" s="9">
        <f>Tabelle3[[#This Row],[Werkzeuge (€)]]/S$24</f>
        <v>0.57151066312499632</v>
      </c>
      <c r="AN18" s="9">
        <f>Tabelle3[[#This Row],[Werkzeuge (Backer)]]/T$24</f>
        <v>0.55820105820105825</v>
      </c>
      <c r="AO18" s="9"/>
      <c r="AP18" s="9"/>
      <c r="AR18" s="27" t="s">
        <v>80</v>
      </c>
      <c r="AS18" s="8" t="s">
        <v>81</v>
      </c>
      <c r="AT18" s="46"/>
      <c r="AU18" s="54"/>
      <c r="AV18" s="5" t="s">
        <v>121</v>
      </c>
      <c r="AW18" s="8" t="s">
        <v>122</v>
      </c>
      <c r="AX18" s="5" t="s">
        <v>86</v>
      </c>
      <c r="AY18" s="28" t="s">
        <v>87</v>
      </c>
      <c r="AZ18" s="5" t="s">
        <v>150</v>
      </c>
      <c r="BA18" s="28" t="s">
        <v>151</v>
      </c>
      <c r="BB18" s="5" t="s">
        <v>180</v>
      </c>
      <c r="BC18" s="28" t="s">
        <v>181</v>
      </c>
      <c r="BD18" s="5" t="s">
        <v>212</v>
      </c>
      <c r="BE18" s="28" t="s">
        <v>213</v>
      </c>
      <c r="BF18" s="5" t="s">
        <v>222</v>
      </c>
      <c r="BG18" s="28" t="s">
        <v>223</v>
      </c>
      <c r="BH18" s="16" t="s">
        <v>89</v>
      </c>
      <c r="BI18" s="23">
        <f>MIN(AR19,AT19,AV19,AX19,AZ19,BB19,BD19,BF19)</f>
        <v>1.9522523037243202</v>
      </c>
      <c r="BJ18" s="23">
        <f>MIN(AS19,AU19,AW19,AY19,BA19,BC19,BE19,BG19)</f>
        <v>1.9530516431924883</v>
      </c>
    </row>
    <row r="19" spans="2:63" x14ac:dyDescent="0.25">
      <c r="B19">
        <v>16</v>
      </c>
      <c r="C19" s="3">
        <v>42277</v>
      </c>
      <c r="D19" s="3">
        <v>224</v>
      </c>
      <c r="E19" s="11">
        <f t="shared" si="8"/>
        <v>45807.971245976383</v>
      </c>
      <c r="F19" s="11">
        <f t="shared" si="9"/>
        <v>272.83206106870233</v>
      </c>
      <c r="G19" s="4">
        <f>Tabelle3[[#This Row],[Werkzeuge (€)]]/$S$24*$G$24</f>
        <v>37819.145777261772</v>
      </c>
      <c r="H19" s="4">
        <f>Tabelle3[[#This Row],[Werkzeuge (Backer)]]/$T$24*$H$24</f>
        <v>204.25264550264549</v>
      </c>
      <c r="I19" s="11">
        <f>Tabelle3[[#This Row],[Mythos (€)]]/$U$24*$I$24</f>
        <v>51700.345315283601</v>
      </c>
      <c r="J19" s="11">
        <f>Tabelle3[[#This Row],[Mythos (Backer)]]/$V$24*$J$24</f>
        <v>291.28152836380679</v>
      </c>
      <c r="K19" s="4">
        <f>Tabelle3[[#This Row],[DSK (€)]]/$W$24*$I$24</f>
        <v>40290.106443956465</v>
      </c>
      <c r="L19" s="4">
        <f>Tabelle3[[#This Row],[DSK (Backer)]]/$X$24*$L$24</f>
        <v>234.85975609756099</v>
      </c>
      <c r="M19" s="4">
        <f>Tabelle3[[#This Row],[Mythen (€)]]/$Y$24*$M$24</f>
        <v>42838.851679425781</v>
      </c>
      <c r="N19" s="4">
        <f>Tabelle3[[#This Row],[Mythen (Backer)]]/$Z$24*$N$24</f>
        <v>244.15927419354838</v>
      </c>
      <c r="O19" s="4">
        <f>Tabelle3[[#This Row],[SOK (€)]]/$AA$24*$M$24</f>
        <v>50374.785022659999</v>
      </c>
      <c r="P19" s="4">
        <f>Tabelle3[[#This Row],[SOK (Backer)]]/$AB$24*$N$24</f>
        <v>281.52043269230768</v>
      </c>
      <c r="Q19" s="10">
        <f t="shared" si="10"/>
        <v>195620.50000000003</v>
      </c>
      <c r="R19" s="10">
        <f t="shared" si="11"/>
        <v>1236.0000000000002</v>
      </c>
      <c r="S19" s="3">
        <v>103452</v>
      </c>
      <c r="T19" s="3">
        <v>445</v>
      </c>
      <c r="U19" s="10">
        <f t="shared" si="4"/>
        <v>98992.333333333299</v>
      </c>
      <c r="V19" s="10">
        <f t="shared" si="5"/>
        <v>596.83333333333326</v>
      </c>
      <c r="W19" s="3">
        <v>80049</v>
      </c>
      <c r="X19" s="3">
        <v>444</v>
      </c>
      <c r="Y19" s="3">
        <v>61842</v>
      </c>
      <c r="Z19" s="3">
        <v>349</v>
      </c>
      <c r="AA19" s="3">
        <v>193264</v>
      </c>
      <c r="AB19" s="3">
        <v>1350</v>
      </c>
      <c r="AC19" s="351">
        <f>'Schleichender Verfall'!BH155</f>
        <v>257666</v>
      </c>
      <c r="AD19" s="351">
        <f>'Schleichender Verfall'!BI155</f>
        <v>1134</v>
      </c>
      <c r="AE19" s="351">
        <v>174081</v>
      </c>
      <c r="AF19" s="351">
        <v>729</v>
      </c>
      <c r="AG19" s="3">
        <f>'Schleichender Verfall'!AA155</f>
        <v>78668</v>
      </c>
      <c r="AH19" s="3">
        <f>'Schleichender Verfall'!AB155</f>
        <v>438</v>
      </c>
      <c r="AI19" s="9">
        <f>Tabelle3[[#This Row],[Nedime (€)]]/C$24</f>
        <v>0.67811372203063602</v>
      </c>
      <c r="AJ19" s="9">
        <f>Tabelle3[[#This Row],[Nedime (Backer)]]/D$24</f>
        <v>0.64553314121037464</v>
      </c>
      <c r="AK19" s="9"/>
      <c r="AL19" s="9"/>
      <c r="AM19" s="9">
        <f>Tabelle3[[#This Row],[Werkzeuge (€)]]/S$24</f>
        <v>0.60661072703924568</v>
      </c>
      <c r="AN19" s="9">
        <f>Tabelle3[[#This Row],[Werkzeuge (Backer)]]/T$24</f>
        <v>0.58862433862433861</v>
      </c>
      <c r="AO19" s="9"/>
      <c r="AP19" s="9"/>
      <c r="AR19" s="27">
        <f>C24/C6</f>
        <v>3.5274980196899399</v>
      </c>
      <c r="AS19" s="8">
        <f>D24/D6</f>
        <v>3.8555555555555556</v>
      </c>
      <c r="AT19" s="46"/>
      <c r="AU19" s="54"/>
      <c r="AV19" s="19">
        <f>S24/S6</f>
        <v>3.1639672733344466</v>
      </c>
      <c r="AW19" s="20">
        <f>T24/T6</f>
        <v>3.375</v>
      </c>
      <c r="AX19" s="19">
        <f t="shared" ref="AX19:BG19" si="12">W24/W6</f>
        <v>2.7360236785722174</v>
      </c>
      <c r="AY19" s="47">
        <f t="shared" si="12"/>
        <v>2.6451612903225805</v>
      </c>
      <c r="AZ19" s="19">
        <f t="shared" si="12"/>
        <v>3.252538758989556</v>
      </c>
      <c r="BA19" s="47">
        <f t="shared" si="12"/>
        <v>3.0617283950617282</v>
      </c>
      <c r="BB19" s="19">
        <f t="shared" si="12"/>
        <v>1.9522523037243202</v>
      </c>
      <c r="BC19" s="47">
        <f t="shared" si="12"/>
        <v>1.9530516431924883</v>
      </c>
      <c r="BD19" s="19">
        <f t="shared" si="12"/>
        <v>3.3803399133281804</v>
      </c>
      <c r="BE19" s="47">
        <f t="shared" si="12"/>
        <v>3.45</v>
      </c>
      <c r="BF19" s="19">
        <f t="shared" si="12"/>
        <v>2.097033161972341</v>
      </c>
      <c r="BG19" s="47">
        <f t="shared" si="12"/>
        <v>2.1222707423580784</v>
      </c>
      <c r="BH19" t="s">
        <v>90</v>
      </c>
      <c r="BI19" s="24">
        <f>MAX(AR19,AT19,AV19,AX19,AZ19,BB19,BD19,BF19)</f>
        <v>3.5274980196899399</v>
      </c>
      <c r="BJ19" s="24">
        <f>MAX(AS19,AU19,AW19,AY19,BA19,BC19,BE19,BG19)</f>
        <v>3.8555555555555556</v>
      </c>
    </row>
    <row r="20" spans="2:63" ht="15.75" thickBot="1" x14ac:dyDescent="0.3">
      <c r="B20">
        <v>17</v>
      </c>
      <c r="C20" s="3">
        <v>44039</v>
      </c>
      <c r="D20" s="3">
        <v>233</v>
      </c>
      <c r="E20" s="11">
        <f t="shared" si="8"/>
        <v>49115.376996781102</v>
      </c>
      <c r="F20" s="11">
        <f t="shared" si="9"/>
        <v>287.66564885496189</v>
      </c>
      <c r="G20" s="12">
        <f>Tabelle3[[#This Row],[Werkzeuge (€)]]/$S$24*$G$24</f>
        <v>40047.306600758762</v>
      </c>
      <c r="H20" s="4">
        <f>Tabelle3[[#This Row],[Werkzeuge (Backer)]]/$T$24*$H$24</f>
        <v>216.18650793650795</v>
      </c>
      <c r="I20" s="11">
        <f>Tabelle3[[#This Row],[Mythos (€)]]/$U$24*$I$24</f>
        <v>53829.276252226875</v>
      </c>
      <c r="J20" s="11">
        <f>Tabelle3[[#This Row],[Mythos (Backer)]]/$V$24*$J$24</f>
        <v>302.42522269104546</v>
      </c>
      <c r="K20" s="4">
        <f>Tabelle3[[#This Row],[DSK (€)]]/$W$24*$I$24</f>
        <v>43704.616083249915</v>
      </c>
      <c r="L20" s="4">
        <f>Tabelle3[[#This Row],[DSK (Backer)]]/$X$24*$L$24</f>
        <v>257.60518292682929</v>
      </c>
      <c r="M20" s="4">
        <f>Tabelle3[[#This Row],[Mythen (€)]]/$Y$24*$M$24</f>
        <v>44512.449972778079</v>
      </c>
      <c r="N20" s="4">
        <f>Tabelle3[[#This Row],[Mythen (Backer)]]/$Z$24*$N$24</f>
        <v>253.95362903225805</v>
      </c>
      <c r="O20" s="4">
        <f>Tabelle3[[#This Row],[SOK (€)]]/$AA$24*$M$24</f>
        <v>51677.266606184254</v>
      </c>
      <c r="P20" s="4">
        <f>Tabelle3[[#This Row],[SOK (Backer)]]/$AB$24*$N$24</f>
        <v>288.61057692307696</v>
      </c>
      <c r="Q20" s="10">
        <f t="shared" si="10"/>
        <v>209744.60000000003</v>
      </c>
      <c r="R20" s="10">
        <f t="shared" si="11"/>
        <v>1303.2000000000003</v>
      </c>
      <c r="S20" s="13">
        <v>109547</v>
      </c>
      <c r="T20" s="13">
        <v>471</v>
      </c>
      <c r="U20" s="10">
        <f t="shared" si="4"/>
        <v>103068.66666666663</v>
      </c>
      <c r="V20" s="10">
        <f t="shared" si="5"/>
        <v>619.66666666666663</v>
      </c>
      <c r="W20" s="3">
        <v>86833</v>
      </c>
      <c r="X20" s="3">
        <v>487</v>
      </c>
      <c r="Y20" s="3">
        <v>64258</v>
      </c>
      <c r="Z20" s="3">
        <v>363</v>
      </c>
      <c r="AA20" s="3">
        <v>198261</v>
      </c>
      <c r="AB20" s="3">
        <v>1384</v>
      </c>
      <c r="AC20" s="351">
        <f>'Schleichender Verfall'!BH156</f>
        <v>268894</v>
      </c>
      <c r="AD20" s="351">
        <f>'Schleichender Verfall'!BI156</f>
        <v>1160</v>
      </c>
      <c r="AE20" s="351">
        <v>181054</v>
      </c>
      <c r="AF20" s="351">
        <v>757</v>
      </c>
      <c r="AG20" s="3">
        <f>'Schleichender Verfall'!AA156</f>
        <v>83940</v>
      </c>
      <c r="AH20" s="3">
        <f>'Schleichender Verfall'!AB156</f>
        <v>471</v>
      </c>
      <c r="AI20" s="14">
        <f>Tabelle3[[#This Row],[Nedime (€)]]/C$24</f>
        <v>0.70637581201379418</v>
      </c>
      <c r="AJ20" s="9">
        <f>Tabelle3[[#This Row],[Nedime (Backer)]]/D$24</f>
        <v>0.67146974063400577</v>
      </c>
      <c r="AK20" s="9"/>
      <c r="AL20" s="9"/>
      <c r="AM20" s="14">
        <f>Tabelle3[[#This Row],[Werkzeuge (€)]]/S$24</f>
        <v>0.64234993344708902</v>
      </c>
      <c r="AN20" s="14">
        <f>Tabelle3[[#This Row],[Werkzeuge (Backer)]]/T$24</f>
        <v>0.62301587301587302</v>
      </c>
      <c r="AO20" s="15"/>
      <c r="AP20" s="15"/>
      <c r="AR20" s="29"/>
      <c r="AS20" s="33">
        <f>AR19-AS19</f>
        <v>-0.3280575358656157</v>
      </c>
      <c r="AT20" s="55"/>
      <c r="AU20" s="56"/>
      <c r="AV20" s="50"/>
      <c r="AW20" s="51">
        <f>AV19-AW19</f>
        <v>-0.21103272666555339</v>
      </c>
      <c r="AX20" s="34"/>
      <c r="AY20" s="30">
        <f>AX19-AY19</f>
        <v>9.0862388249636883E-2</v>
      </c>
      <c r="AZ20" s="34"/>
      <c r="BA20" s="30">
        <f>AZ19-BA19</f>
        <v>0.1908103639278278</v>
      </c>
      <c r="BB20" s="34"/>
      <c r="BC20" s="30">
        <f>BB19-BC19</f>
        <v>-7.9933946816801438E-4</v>
      </c>
      <c r="BD20" s="34"/>
      <c r="BE20" s="30">
        <f>BD19-BE19</f>
        <v>-6.9660086671819776E-2</v>
      </c>
      <c r="BF20" s="34"/>
      <c r="BG20" s="30">
        <f>BF19-BG19</f>
        <v>-2.5237580385737424E-2</v>
      </c>
    </row>
    <row r="21" spans="2:63" ht="15.75" thickBot="1" x14ac:dyDescent="0.3">
      <c r="B21">
        <v>18</v>
      </c>
      <c r="C21" s="3">
        <v>46661</v>
      </c>
      <c r="D21" s="3">
        <v>250</v>
      </c>
      <c r="E21" s="11">
        <f t="shared" si="8"/>
        <v>52422.782747585821</v>
      </c>
      <c r="F21" s="11">
        <f t="shared" si="9"/>
        <v>302.49923664122144</v>
      </c>
      <c r="G21" s="12">
        <f>Tabelle3[[#This Row],[Werkzeuge (€)]]/$S$24*$G$24</f>
        <v>42194.310459068496</v>
      </c>
      <c r="H21" s="4">
        <f>Tabelle3[[#This Row],[Werkzeuge (Backer)]]/$T$24*$H$24</f>
        <v>229.95634920634919</v>
      </c>
      <c r="I21" s="11">
        <f>Tabelle3[[#This Row],[Mythos (€)]]/$U$24*$I$24</f>
        <v>55958.207189170149</v>
      </c>
      <c r="J21" s="11">
        <f>Tabelle3[[#This Row],[Mythos (Backer)]]/$V$24*$J$24</f>
        <v>313.56891701828408</v>
      </c>
      <c r="K21" s="4">
        <f>Tabelle3[[#This Row],[DSK (€)]]/$W$24*$I$24</f>
        <v>46292.174169276972</v>
      </c>
      <c r="L21" s="4">
        <f>Tabelle3[[#This Row],[DSK (Backer)]]/$X$24*$L$24</f>
        <v>271.88719512195121</v>
      </c>
      <c r="M21" s="4">
        <f>Tabelle3[[#This Row],[Mythen (€)]]/$Y$24*$M$24</f>
        <v>46238.001855534945</v>
      </c>
      <c r="N21" s="4">
        <f>Tabelle3[[#This Row],[Mythen (Backer)]]/$Z$24*$N$24</f>
        <v>263.74798387096774</v>
      </c>
      <c r="O21" s="4">
        <f>Tabelle3[[#This Row],[SOK (€)]]/$AA$24*$M$24</f>
        <v>52943.517463250668</v>
      </c>
      <c r="P21" s="4">
        <f>Tabelle3[[#This Row],[SOK (Backer)]]/$AB$24*$N$24</f>
        <v>295.90925480769232</v>
      </c>
      <c r="Q21" s="10">
        <f t="shared" si="10"/>
        <v>223868.70000000004</v>
      </c>
      <c r="R21" s="10">
        <f t="shared" si="11"/>
        <v>1370.4000000000003</v>
      </c>
      <c r="S21" s="13">
        <v>115420</v>
      </c>
      <c r="T21" s="13">
        <v>501</v>
      </c>
      <c r="U21" s="10">
        <f t="shared" si="4"/>
        <v>107144.99999999996</v>
      </c>
      <c r="V21" s="10">
        <f t="shared" si="5"/>
        <v>642.5</v>
      </c>
      <c r="W21" s="3">
        <v>91974</v>
      </c>
      <c r="X21" s="3">
        <v>514</v>
      </c>
      <c r="Y21" s="3">
        <v>66749</v>
      </c>
      <c r="Z21" s="3">
        <v>377</v>
      </c>
      <c r="AA21" s="3">
        <v>203119</v>
      </c>
      <c r="AB21" s="3">
        <v>1419</v>
      </c>
      <c r="AC21" s="351">
        <f>'Schleichender Verfall'!BH157</f>
        <v>280832</v>
      </c>
      <c r="AD21" s="351">
        <f>'Schleichender Verfall'!BI157</f>
        <v>1210</v>
      </c>
      <c r="AE21" s="351">
        <v>187527</v>
      </c>
      <c r="AF21" s="351">
        <v>781</v>
      </c>
      <c r="AG21" s="3">
        <f>'Schleichender Verfall'!AA157</f>
        <v>87091</v>
      </c>
      <c r="AH21" s="3">
        <f>'Schleichender Verfall'!AB157</f>
        <v>491</v>
      </c>
      <c r="AI21" s="14">
        <f>Tabelle3[[#This Row],[Nedime (€)]]/C$24</f>
        <v>0.74843211163685941</v>
      </c>
      <c r="AJ21" s="9">
        <f>Tabelle3[[#This Row],[Nedime (Backer)]]/D$24</f>
        <v>0.72046109510086453</v>
      </c>
      <c r="AK21" s="9"/>
      <c r="AL21" s="9"/>
      <c r="AM21" s="14">
        <f>Tabelle3[[#This Row],[Werkzeuge (€)]]/S$24</f>
        <v>0.67678740009733729</v>
      </c>
      <c r="AN21" s="14">
        <f>Tabelle3[[#This Row],[Werkzeuge (Backer)]]/T$24</f>
        <v>0.66269841269841268</v>
      </c>
      <c r="AO21" s="15"/>
      <c r="AP21" s="15"/>
    </row>
    <row r="22" spans="2:63" x14ac:dyDescent="0.25">
      <c r="B22">
        <v>19</v>
      </c>
      <c r="C22" s="3">
        <v>49576</v>
      </c>
      <c r="D22" s="3">
        <v>267</v>
      </c>
      <c r="E22" s="11">
        <f t="shared" si="8"/>
        <v>55730.18849839054</v>
      </c>
      <c r="F22" s="11">
        <f t="shared" si="9"/>
        <v>317.332824427481</v>
      </c>
      <c r="G22" s="12">
        <f>Tabelle3[[#This Row],[Werkzeuge (€)]]/$S$24*$G$24</f>
        <v>45163.485554793275</v>
      </c>
      <c r="H22" s="4">
        <f>Tabelle3[[#This Row],[Werkzeuge (Backer)]]/$T$24*$H$24</f>
        <v>246.48015873015873</v>
      </c>
      <c r="I22" s="11">
        <f>Tabelle3[[#This Row],[Mythos (€)]]/$U$24*$I$24</f>
        <v>58087.138126113423</v>
      </c>
      <c r="J22" s="11">
        <f>Tabelle3[[#This Row],[Mythos (Backer)]]/$V$24*$J$24</f>
        <v>324.71261134552276</v>
      </c>
      <c r="K22" s="4">
        <f>Tabelle3[[#This Row],[DSK (€)]]/$W$24*$I$24</f>
        <v>50920.686940937128</v>
      </c>
      <c r="L22" s="4">
        <f>Tabelle3[[#This Row],[DSK (Backer)]]/$X$24*$L$24</f>
        <v>290.40091463414637</v>
      </c>
      <c r="M22" s="4">
        <f>Tabelle3[[#This Row],[Mythen (€)]]/$Y$24*$M$24</f>
        <v>49482.676692481196</v>
      </c>
      <c r="N22" s="4">
        <f>Tabelle3[[#This Row],[Mythen (Backer)]]/$Z$24*$N$24</f>
        <v>280.53830645161293</v>
      </c>
      <c r="O22" s="4">
        <f>Tabelle3[[#This Row],[SOK (€)]]/$AA$24*$M$24</f>
        <v>55306.855569677406</v>
      </c>
      <c r="P22" s="4">
        <f>Tabelle3[[#This Row],[SOK (Backer)]]/$AB$24*$N$24</f>
        <v>309.25540865384619</v>
      </c>
      <c r="Q22" s="10">
        <f t="shared" si="10"/>
        <v>237992.80000000005</v>
      </c>
      <c r="R22" s="10">
        <f t="shared" si="11"/>
        <v>1437.6000000000004</v>
      </c>
      <c r="S22" s="13">
        <v>123542</v>
      </c>
      <c r="T22" s="13">
        <v>537</v>
      </c>
      <c r="U22" s="10">
        <f t="shared" si="4"/>
        <v>111221.33333333328</v>
      </c>
      <c r="V22" s="10">
        <f t="shared" si="5"/>
        <v>665.33333333333337</v>
      </c>
      <c r="W22" s="3">
        <v>101170</v>
      </c>
      <c r="X22" s="3">
        <v>549</v>
      </c>
      <c r="Y22" s="3">
        <v>71433</v>
      </c>
      <c r="Z22" s="3">
        <v>401</v>
      </c>
      <c r="AA22" s="3">
        <v>212186</v>
      </c>
      <c r="AB22" s="3">
        <v>1483</v>
      </c>
      <c r="AC22" s="351">
        <f>'Schleichender Verfall'!BH158</f>
        <v>299641</v>
      </c>
      <c r="AD22" s="351">
        <f>'Schleichender Verfall'!BI158</f>
        <v>1290</v>
      </c>
      <c r="AE22" s="351">
        <v>197700</v>
      </c>
      <c r="AF22" s="351">
        <v>827</v>
      </c>
      <c r="AG22" s="3">
        <f>'Schleichender Verfall'!AA158</f>
        <v>91598</v>
      </c>
      <c r="AH22" s="3">
        <f>'Schleichender Verfall'!AB158</f>
        <v>519</v>
      </c>
      <c r="AI22" s="14">
        <f>Tabelle3[[#This Row],[Nedime (€)]]/C$24</f>
        <v>0.79518806640468365</v>
      </c>
      <c r="AJ22" s="9">
        <f>Tabelle3[[#This Row],[Nedime (Backer)]]/D$24</f>
        <v>0.7694524495677233</v>
      </c>
      <c r="AK22" s="9"/>
      <c r="AL22" s="9"/>
      <c r="AM22" s="14">
        <f>Tabelle3[[#This Row],[Werkzeuge (€)]]/S$24</f>
        <v>0.72441231140898665</v>
      </c>
      <c r="AN22" s="14">
        <f>Tabelle3[[#This Row],[Werkzeuge (Backer)]]/T$24</f>
        <v>0.71031746031746035</v>
      </c>
      <c r="AO22" s="15"/>
      <c r="AP22" s="15"/>
      <c r="AR22" s="25" t="s">
        <v>156</v>
      </c>
      <c r="AS22" s="31" t="s">
        <v>156</v>
      </c>
      <c r="AT22" s="52"/>
      <c r="AU22" s="53"/>
      <c r="AV22" s="48" t="s">
        <v>156</v>
      </c>
      <c r="AW22" s="49" t="s">
        <v>156</v>
      </c>
      <c r="AX22" s="32" t="s">
        <v>156</v>
      </c>
      <c r="AY22" s="26" t="s">
        <v>156</v>
      </c>
      <c r="AZ22" s="32" t="s">
        <v>156</v>
      </c>
      <c r="BA22" s="26" t="s">
        <v>156</v>
      </c>
      <c r="BB22" s="32" t="s">
        <v>156</v>
      </c>
      <c r="BC22" s="26" t="s">
        <v>156</v>
      </c>
      <c r="BD22" s="32" t="s">
        <v>156</v>
      </c>
      <c r="BE22" s="26" t="s">
        <v>156</v>
      </c>
      <c r="BF22" s="32" t="s">
        <v>156</v>
      </c>
      <c r="BG22" s="26" t="s">
        <v>156</v>
      </c>
    </row>
    <row r="23" spans="2:63" s="16" customFormat="1" x14ac:dyDescent="0.25">
      <c r="B23" s="16">
        <v>20</v>
      </c>
      <c r="C23" s="13">
        <v>54612</v>
      </c>
      <c r="D23" s="13">
        <v>300</v>
      </c>
      <c r="E23" s="17">
        <f t="shared" si="8"/>
        <v>59037.594249195259</v>
      </c>
      <c r="F23" s="17">
        <f t="shared" si="9"/>
        <v>332.16641221374056</v>
      </c>
      <c r="G23" s="12">
        <f>Tabelle3[[#This Row],[Werkzeuge (€)]]/$S$24*$G$24</f>
        <v>47642.79428407245</v>
      </c>
      <c r="H23" s="12">
        <f>Tabelle3[[#This Row],[Werkzeuge (Backer)]]/$T$24*$H$24</f>
        <v>264.38095238095235</v>
      </c>
      <c r="I23" s="17">
        <f>Tabelle3[[#This Row],[Mythos (€)]]/$U$24*$I$24</f>
        <v>60216.069063056697</v>
      </c>
      <c r="J23" s="17">
        <f>Tabelle3[[#This Row],[Mythos (Backer)]]/$V$24*$J$24</f>
        <v>335.85630567276144</v>
      </c>
      <c r="K23" s="4">
        <f>Tabelle3[[#This Row],[DSK (€)]]/$W$24*$I$24</f>
        <v>54792.209368036936</v>
      </c>
      <c r="L23" s="4">
        <f>Tabelle3[[#This Row],[DSK (Backer)]]/$X$24*$L$24</f>
        <v>308.91463414634148</v>
      </c>
      <c r="M23" s="4">
        <f>Tabelle3[[#This Row],[Mythen (€)]]/$Y$24*$M$24</f>
        <v>54719.598504461064</v>
      </c>
      <c r="N23" s="4">
        <f>Tabelle3[[#This Row],[Mythen (Backer)]]/$Z$24*$N$24</f>
        <v>307.82258064516128</v>
      </c>
      <c r="O23" s="4">
        <f>Tabelle3[[#This Row],[SOK (€)]]/$AA$24*$M$24</f>
        <v>57577.401311938731</v>
      </c>
      <c r="P23" s="4">
        <f>Tabelle3[[#This Row],[SOK (Backer)]]/$AB$24*$N$24</f>
        <v>322.18449519230768</v>
      </c>
      <c r="Q23" s="18">
        <f t="shared" si="10"/>
        <v>252116.90000000005</v>
      </c>
      <c r="R23" s="18">
        <f t="shared" si="11"/>
        <v>1504.8000000000004</v>
      </c>
      <c r="S23" s="13">
        <v>130324</v>
      </c>
      <c r="T23" s="13">
        <v>576</v>
      </c>
      <c r="U23" s="18">
        <f t="shared" si="4"/>
        <v>115297.66666666661</v>
      </c>
      <c r="V23" s="18">
        <f t="shared" si="5"/>
        <v>688.16666666666674</v>
      </c>
      <c r="W23" s="13">
        <v>108862</v>
      </c>
      <c r="X23" s="13">
        <v>584</v>
      </c>
      <c r="Y23" s="3">
        <v>78993</v>
      </c>
      <c r="Z23" s="3">
        <v>440</v>
      </c>
      <c r="AA23" s="3">
        <v>220897</v>
      </c>
      <c r="AB23" s="3">
        <v>1545</v>
      </c>
      <c r="AC23" s="351">
        <f>'Schleichender Verfall'!BH159</f>
        <v>330836</v>
      </c>
      <c r="AD23" s="351">
        <f>'Schleichender Verfall'!BI159</f>
        <v>1421</v>
      </c>
      <c r="AE23" s="351">
        <v>205967</v>
      </c>
      <c r="AF23" s="351">
        <v>863</v>
      </c>
      <c r="AG23" s="3">
        <f>'Schleichender Verfall'!AA159</f>
        <v>99702</v>
      </c>
      <c r="AH23" s="3">
        <f>'Schleichender Verfall'!AB159</f>
        <v>558</v>
      </c>
      <c r="AI23" s="14">
        <f>Tabelle3[[#This Row],[Nedime (€)]]/C$24</f>
        <v>0.87596439169139462</v>
      </c>
      <c r="AJ23" s="14">
        <f>Tabelle3[[#This Row],[Nedime (Backer)]]/D$24</f>
        <v>0.86455331412103742</v>
      </c>
      <c r="AK23" s="14"/>
      <c r="AL23" s="14"/>
      <c r="AM23" s="14">
        <f>Tabelle3[[#This Row],[Werkzeuge (€)]]/S$24</f>
        <v>0.76417987463425219</v>
      </c>
      <c r="AN23" s="14">
        <f>Tabelle3[[#This Row],[Werkzeuge (Backer)]]/T$24</f>
        <v>0.76190476190476186</v>
      </c>
      <c r="AO23" s="14"/>
      <c r="AP23" s="14"/>
      <c r="AR23" s="27" t="s">
        <v>80</v>
      </c>
      <c r="AS23" s="8" t="s">
        <v>81</v>
      </c>
      <c r="AT23" s="46"/>
      <c r="AU23" s="54"/>
      <c r="AV23" s="5" t="s">
        <v>121</v>
      </c>
      <c r="AW23" s="8" t="s">
        <v>122</v>
      </c>
      <c r="AX23" s="5" t="s">
        <v>86</v>
      </c>
      <c r="AY23" s="28" t="s">
        <v>87</v>
      </c>
      <c r="AZ23" s="5" t="s">
        <v>150</v>
      </c>
      <c r="BA23" s="28" t="s">
        <v>151</v>
      </c>
      <c r="BB23" s="5" t="s">
        <v>180</v>
      </c>
      <c r="BC23" s="28" t="s">
        <v>181</v>
      </c>
      <c r="BD23" s="5" t="s">
        <v>212</v>
      </c>
      <c r="BE23" s="28" t="s">
        <v>213</v>
      </c>
      <c r="BF23" s="5" t="s">
        <v>222</v>
      </c>
      <c r="BG23" s="28" t="s">
        <v>223</v>
      </c>
      <c r="BH23" s="16" t="s">
        <v>89</v>
      </c>
      <c r="BI23" s="23">
        <f>MIN(AR24,AT24,AV24,AX24,AZ24,BB24,BD24,BF24)</f>
        <v>1.874455346227391</v>
      </c>
      <c r="BJ23" s="23">
        <f>MIN(AS24,AU24,AW24,AY24,BA24,BC24,BE24,BG24)</f>
        <v>1.8675645342312008</v>
      </c>
      <c r="BK23"/>
    </row>
    <row r="24" spans="2:63" x14ac:dyDescent="0.25">
      <c r="B24">
        <v>21</v>
      </c>
      <c r="C24" s="3">
        <v>62345</v>
      </c>
      <c r="D24" s="3">
        <v>347</v>
      </c>
      <c r="E24" s="4">
        <f>Tabelle3[[#This Row],[Nedime (€)]]</f>
        <v>62345</v>
      </c>
      <c r="F24" s="4">
        <f>Tabelle3[[#This Row],[Nedime (Backer)]]</f>
        <v>347</v>
      </c>
      <c r="G24" s="12">
        <f>Tabelle3[[#This Row],[Nedime (€)]]</f>
        <v>62345</v>
      </c>
      <c r="H24" s="12">
        <f>Tabelle3[[#This Row],[Nedime (Backer)]]</f>
        <v>347</v>
      </c>
      <c r="I24" s="12">
        <f>Tabelle3[[#This Row],[Nedime (€)]]</f>
        <v>62345</v>
      </c>
      <c r="J24" s="12">
        <f>Tabelle3[[#This Row],[Nedime (Backer)]]</f>
        <v>347</v>
      </c>
      <c r="K24" s="12">
        <f>Tabelle3[[#This Row],[Nedime (€)]]</f>
        <v>62345</v>
      </c>
      <c r="L24" s="12">
        <f>Tabelle3[[#This Row],[Nedime (Backer)]]</f>
        <v>347</v>
      </c>
      <c r="M24" s="12">
        <f>Tabelle3[[#This Row],[Nedime (€)]]</f>
        <v>62345</v>
      </c>
      <c r="N24" s="12">
        <f>Tabelle3[[#This Row],[Nedime (Backer)]]</f>
        <v>347</v>
      </c>
      <c r="O24" s="4">
        <f>Tabelle3[[#This Row],[SOK (€)]]/$AA$24*$M$24</f>
        <v>62345</v>
      </c>
      <c r="P24" s="4">
        <f>Tabelle3[[#This Row],[SOK (Backer)]]/$AB$24*$N$24</f>
        <v>347</v>
      </c>
      <c r="Q24" s="3">
        <v>266241</v>
      </c>
      <c r="R24" s="3">
        <v>1572</v>
      </c>
      <c r="S24" s="13">
        <v>170541</v>
      </c>
      <c r="T24" s="13">
        <v>756</v>
      </c>
      <c r="U24" s="13">
        <v>119374</v>
      </c>
      <c r="V24" s="13">
        <v>711</v>
      </c>
      <c r="W24" s="13">
        <v>123868</v>
      </c>
      <c r="X24" s="13">
        <v>656</v>
      </c>
      <c r="Y24" s="3">
        <v>90001</v>
      </c>
      <c r="Z24" s="3">
        <v>496</v>
      </c>
      <c r="AA24" s="3">
        <v>239188</v>
      </c>
      <c r="AB24" s="3">
        <v>1664</v>
      </c>
      <c r="AC24" s="351">
        <f>'Schleichender Verfall'!BH160</f>
        <v>389236</v>
      </c>
      <c r="AD24" s="351">
        <f>'Schleichender Verfall'!BI160</f>
        <v>1656</v>
      </c>
      <c r="AE24" s="351">
        <v>231697</v>
      </c>
      <c r="AF24" s="351">
        <v>972</v>
      </c>
      <c r="AG24" s="3">
        <f>'Schleichender Verfall'!AA160</f>
        <v>115733</v>
      </c>
      <c r="AH24" s="3">
        <f>'Schleichender Verfall'!AB160</f>
        <v>645</v>
      </c>
      <c r="AI24" s="14">
        <f>Tabelle3[[#This Row],[Nedime (€)]]/C$24</f>
        <v>1</v>
      </c>
      <c r="AJ24" s="14">
        <f>Tabelle3[[#This Row],[Nedime (Backer)]]/D$24</f>
        <v>1</v>
      </c>
      <c r="AK24" s="9">
        <f>Tabelle3[[#This Row],[Thorwal (€)]]/Q$24</f>
        <v>1</v>
      </c>
      <c r="AL24" s="9">
        <f>Tabelle3[[#This Row],[Thorwal (Backer)]]/R$24</f>
        <v>1</v>
      </c>
      <c r="AM24" s="14">
        <f>Tabelle3[[#This Row],[Werkzeuge (€)]]/S$24</f>
        <v>1</v>
      </c>
      <c r="AN24" s="14">
        <f>Tabelle3[[#This Row],[Werkzeuge (Backer)]]/T$24</f>
        <v>1</v>
      </c>
      <c r="AO24" s="14">
        <f>Tabelle3[[#This Row],[Mythos (€)]]/U$24</f>
        <v>1</v>
      </c>
      <c r="AP24" s="14">
        <f>Tabelle3[[#This Row],[Mythos (Backer)]]/V$24</f>
        <v>1</v>
      </c>
      <c r="AR24" s="27">
        <f>C24/C7</f>
        <v>3.301996716275621</v>
      </c>
      <c r="AS24" s="8">
        <f>D24/D7</f>
        <v>3.6526315789473682</v>
      </c>
      <c r="AT24" s="46"/>
      <c r="AU24" s="54"/>
      <c r="AV24" s="19">
        <f>S24/S7</f>
        <v>2.8441038640494973</v>
      </c>
      <c r="AW24" s="20">
        <f>T24/T7</f>
        <v>3.0607287449392713</v>
      </c>
      <c r="AX24" s="19">
        <f t="shared" ref="AX24:BG24" si="13">W24/W7</f>
        <v>2.5828971787226056</v>
      </c>
      <c r="AY24" s="47">
        <f t="shared" si="13"/>
        <v>2.4848484848484849</v>
      </c>
      <c r="AZ24" s="19">
        <f t="shared" si="13"/>
        <v>2.9679791584223718</v>
      </c>
      <c r="BA24" s="47">
        <f t="shared" si="13"/>
        <v>2.7865168539325844</v>
      </c>
      <c r="BB24" s="19">
        <f t="shared" si="13"/>
        <v>1.874455346227391</v>
      </c>
      <c r="BC24" s="47">
        <f t="shared" si="13"/>
        <v>1.8675645342312008</v>
      </c>
      <c r="BD24" s="19">
        <f t="shared" si="13"/>
        <v>3.1432078427572394</v>
      </c>
      <c r="BE24" s="47">
        <f t="shared" si="13"/>
        <v>3.1846153846153844</v>
      </c>
      <c r="BF24" s="19">
        <f t="shared" si="13"/>
        <v>1.9748305987641168</v>
      </c>
      <c r="BG24" s="47">
        <f t="shared" si="13"/>
        <v>2</v>
      </c>
      <c r="BH24" t="s">
        <v>90</v>
      </c>
      <c r="BI24" s="24">
        <f>MAX(AR24,AT24,AV24,AX24,AZ24,BB24,BD24,BF24)</f>
        <v>3.301996716275621</v>
      </c>
      <c r="BJ24" s="24">
        <f>MAX(AS24,AU24,AW24,AY24,BA24,BC24,BE24,BG24)</f>
        <v>3.6526315789473682</v>
      </c>
    </row>
    <row r="25" spans="2:63" ht="15.75" thickBot="1" x14ac:dyDescent="0.3">
      <c r="G25" s="12"/>
      <c r="H25" s="12"/>
      <c r="I25" s="12"/>
      <c r="J25" s="12"/>
      <c r="K25" s="12"/>
      <c r="L25" s="12"/>
      <c r="M25" s="12"/>
      <c r="N25" s="12"/>
      <c r="O25" s="12"/>
      <c r="P25" s="12"/>
      <c r="AR25" s="29"/>
      <c r="AS25" s="33">
        <f>AR24-AS24</f>
        <v>-0.35063486267174726</v>
      </c>
      <c r="AT25" s="55"/>
      <c r="AU25" s="56"/>
      <c r="AV25" s="50"/>
      <c r="AW25" s="51">
        <f>AV24-AW24</f>
        <v>-0.21662488088977394</v>
      </c>
      <c r="AX25" s="34"/>
      <c r="AY25" s="30">
        <f>AX24-AY24</f>
        <v>9.804869387412074E-2</v>
      </c>
      <c r="AZ25" s="34"/>
      <c r="BA25" s="30">
        <f>AZ24-BA24</f>
        <v>0.1814623044897874</v>
      </c>
      <c r="BB25" s="34"/>
      <c r="BC25" s="30">
        <f>BB24-BC24</f>
        <v>6.8908119961901271E-3</v>
      </c>
      <c r="BD25" s="34"/>
      <c r="BE25" s="30">
        <f>BD24-BE24</f>
        <v>-4.1407541858144992E-2</v>
      </c>
      <c r="BF25" s="34"/>
      <c r="BG25" s="30">
        <f>BF24-BG24</f>
        <v>-2.5169401235883182E-2</v>
      </c>
    </row>
    <row r="26" spans="2:63" ht="15.75" thickBot="1" x14ac:dyDescent="0.3">
      <c r="V26"/>
      <c r="W26"/>
      <c r="X26"/>
      <c r="AE26" s="425" t="s">
        <v>123</v>
      </c>
      <c r="AF26" s="426" t="s">
        <v>125</v>
      </c>
      <c r="AG26" s="60">
        <f>$AG$4*BI8</f>
        <v>71235.296149774338</v>
      </c>
      <c r="AH26" s="60">
        <f>$AH$4*BJ8</f>
        <v>362.08639999999997</v>
      </c>
      <c r="AK26" s="36">
        <f>AG26/AH26</f>
        <v>196.73563036273757</v>
      </c>
      <c r="AL26" s="36"/>
    </row>
    <row r="27" spans="2:63" x14ac:dyDescent="0.25">
      <c r="V27"/>
      <c r="W27"/>
      <c r="X27"/>
      <c r="AE27" s="425"/>
      <c r="AF27" s="425" t="s">
        <v>126</v>
      </c>
      <c r="AG27" s="60">
        <f>$AG$4*BI9</f>
        <v>125380.66316322348</v>
      </c>
      <c r="AH27" s="60">
        <f>$AH$4*BJ9</f>
        <v>660.45747800586514</v>
      </c>
      <c r="AI27" s="36"/>
      <c r="AJ27" s="36"/>
      <c r="AK27" s="36">
        <f>AG27/AH27</f>
        <v>189.83911506579997</v>
      </c>
      <c r="AL27" s="36"/>
      <c r="AR27" s="25" t="s">
        <v>157</v>
      </c>
      <c r="AS27" s="31" t="s">
        <v>157</v>
      </c>
      <c r="AT27" s="52"/>
      <c r="AU27" s="53"/>
      <c r="AV27" s="48" t="s">
        <v>157</v>
      </c>
      <c r="AW27" s="49" t="s">
        <v>157</v>
      </c>
      <c r="AX27" s="32" t="s">
        <v>157</v>
      </c>
      <c r="AY27" s="26" t="s">
        <v>157</v>
      </c>
      <c r="AZ27" s="32" t="s">
        <v>157</v>
      </c>
      <c r="BA27" s="26" t="s">
        <v>157</v>
      </c>
      <c r="BB27" s="32" t="s">
        <v>157</v>
      </c>
      <c r="BC27" s="26" t="s">
        <v>157</v>
      </c>
      <c r="BD27" s="32" t="s">
        <v>157</v>
      </c>
      <c r="BE27" s="26" t="s">
        <v>157</v>
      </c>
      <c r="BF27" s="32" t="s">
        <v>157</v>
      </c>
      <c r="BG27" s="26" t="s">
        <v>157</v>
      </c>
    </row>
    <row r="28" spans="2:63" x14ac:dyDescent="0.25">
      <c r="AE28" s="425"/>
      <c r="AF28" s="425"/>
      <c r="AI28" s="3">
        <f>AVERAGE(AG26:AG27)</f>
        <v>98307.979656498908</v>
      </c>
      <c r="AJ28" s="3">
        <f>AVERAGE(AH26:AH27)</f>
        <v>511.27193900293253</v>
      </c>
      <c r="AK28" s="36"/>
      <c r="AL28" s="36">
        <f>AI28/AJ28</f>
        <v>192.28119549884985</v>
      </c>
      <c r="AR28" s="27" t="s">
        <v>80</v>
      </c>
      <c r="AS28" s="8" t="s">
        <v>81</v>
      </c>
      <c r="AT28" s="46"/>
      <c r="AU28" s="54"/>
      <c r="AV28" s="5" t="s">
        <v>121</v>
      </c>
      <c r="AW28" s="8" t="s">
        <v>122</v>
      </c>
      <c r="AX28" s="5" t="s">
        <v>86</v>
      </c>
      <c r="AY28" s="28" t="s">
        <v>87</v>
      </c>
      <c r="AZ28" s="5" t="s">
        <v>150</v>
      </c>
      <c r="BA28" s="28" t="s">
        <v>151</v>
      </c>
      <c r="BB28" s="5" t="s">
        <v>180</v>
      </c>
      <c r="BC28" s="28" t="s">
        <v>181</v>
      </c>
      <c r="BD28" s="5" t="s">
        <v>212</v>
      </c>
      <c r="BE28" s="28" t="s">
        <v>213</v>
      </c>
      <c r="BF28" s="5" t="s">
        <v>222</v>
      </c>
      <c r="BG28" s="28" t="s">
        <v>223</v>
      </c>
      <c r="BH28" s="16" t="s">
        <v>89</v>
      </c>
      <c r="BI28" s="23">
        <f>MIN(AR29,AT29,AV29,AX29,AZ29,BB29,BD29,BF29)</f>
        <v>1.8220515867574691</v>
      </c>
      <c r="BJ28" s="23">
        <f>MIN(AS29,AU29,AW29,AY29,BA29,BC29,BE29,BG29)</f>
        <v>1.812636165577342</v>
      </c>
    </row>
    <row r="29" spans="2:63" x14ac:dyDescent="0.25">
      <c r="AE29" s="425" t="s">
        <v>124</v>
      </c>
      <c r="AF29" s="425" t="s">
        <v>125</v>
      </c>
      <c r="AG29" s="60">
        <f>$AG$5*BI13</f>
        <v>68011.527836986745</v>
      </c>
      <c r="AH29" s="60">
        <f>$AH$5*BJ13</f>
        <v>362.74778200253485</v>
      </c>
      <c r="AI29" s="35"/>
      <c r="AJ29" s="35"/>
      <c r="AK29" s="36">
        <f>AG29/AH29</f>
        <v>187.48985165817356</v>
      </c>
      <c r="AL29" s="36"/>
      <c r="AR29" s="27">
        <f>C24/C8</f>
        <v>2.8486246915836606</v>
      </c>
      <c r="AS29" s="8">
        <f>D24/D8</f>
        <v>3.1261261261261262</v>
      </c>
      <c r="AT29" s="46"/>
      <c r="AU29" s="54"/>
      <c r="AV29" s="19">
        <f>S24/S8</f>
        <v>2.7020676542818665</v>
      </c>
      <c r="AW29" s="20">
        <f>T24/T8</f>
        <v>2.8636363636363638</v>
      </c>
      <c r="AX29" s="19">
        <f t="shared" ref="AX29:BG29" si="14">W24/W8</f>
        <v>2.4401237121525519</v>
      </c>
      <c r="AY29" s="47">
        <f t="shared" si="14"/>
        <v>2.342857142857143</v>
      </c>
      <c r="AZ29" s="19">
        <f t="shared" si="14"/>
        <v>2.7589896079212779</v>
      </c>
      <c r="BA29" s="47">
        <f t="shared" si="14"/>
        <v>2.5968586387434556</v>
      </c>
      <c r="BB29" s="19">
        <f t="shared" si="14"/>
        <v>1.8220515867574691</v>
      </c>
      <c r="BC29" s="47">
        <f t="shared" si="14"/>
        <v>1.812636165577342</v>
      </c>
      <c r="BD29" s="19">
        <f t="shared" si="14"/>
        <v>2.9487128982894197</v>
      </c>
      <c r="BE29" s="47">
        <f t="shared" si="14"/>
        <v>2.9361702127659575</v>
      </c>
      <c r="BF29" s="19">
        <f t="shared" si="14"/>
        <v>1.9249052904426425</v>
      </c>
      <c r="BG29" s="47">
        <f t="shared" si="14"/>
        <v>1.9557344064386317</v>
      </c>
      <c r="BH29" t="s">
        <v>90</v>
      </c>
      <c r="BI29" s="24">
        <f>MAX(AR29,AT29,AV29,AX29,AZ29,BB29,BD29,BF29)</f>
        <v>2.9487128982894197</v>
      </c>
      <c r="BJ29" s="24">
        <f>MAX(AS29,AU29,AW29,AY29,BA29,BC29,BE29,BG29)</f>
        <v>3.1261261261261262</v>
      </c>
    </row>
    <row r="30" spans="2:63" ht="15.75" thickBot="1" x14ac:dyDescent="0.3">
      <c r="V30"/>
      <c r="W30"/>
      <c r="X30"/>
      <c r="AE30" s="425"/>
      <c r="AF30" s="425" t="s">
        <v>126</v>
      </c>
      <c r="AG30" s="60">
        <f>$AG$5*BI14</f>
        <v>130984.49231791378</v>
      </c>
      <c r="AH30" s="60">
        <f>$AH$5*BJ14</f>
        <v>727.85365853658527</v>
      </c>
      <c r="AI30" s="36"/>
      <c r="AJ30" s="36"/>
      <c r="AK30" s="36">
        <f>AG30/AH30</f>
        <v>179.95992845769271</v>
      </c>
      <c r="AL30" s="36"/>
      <c r="AR30" s="29"/>
      <c r="AS30" s="33">
        <f>AR29-AS29</f>
        <v>-0.27750143454246556</v>
      </c>
      <c r="AT30" s="55"/>
      <c r="AU30" s="56"/>
      <c r="AV30" s="50"/>
      <c r="AW30" s="51">
        <f>AV29-AW29</f>
        <v>-0.1615687093544973</v>
      </c>
      <c r="AX30" s="34"/>
      <c r="AY30" s="30">
        <f>AX29-AY29</f>
        <v>9.7266569295408889E-2</v>
      </c>
      <c r="AZ30" s="34"/>
      <c r="BA30" s="30">
        <f>AZ29-BA29</f>
        <v>0.16213096917782233</v>
      </c>
      <c r="BB30" s="34"/>
      <c r="BC30" s="30">
        <f>BB29-BC29</f>
        <v>9.4154211801271703E-3</v>
      </c>
      <c r="BD30" s="34"/>
      <c r="BE30" s="30">
        <f>BD29-BE29</f>
        <v>1.2542685523462271E-2</v>
      </c>
      <c r="BF30" s="34"/>
      <c r="BG30" s="30">
        <f>BF29-BG29</f>
        <v>-3.0829115995989254E-2</v>
      </c>
    </row>
    <row r="31" spans="2:63" ht="15.75" thickBot="1" x14ac:dyDescent="0.3">
      <c r="V31"/>
      <c r="W31"/>
      <c r="X31"/>
      <c r="AE31" s="425"/>
      <c r="AF31" s="425"/>
      <c r="AI31" s="3">
        <f>AVERAGE(AG29:AG30)</f>
        <v>99498.010077450264</v>
      </c>
      <c r="AJ31" s="3">
        <f>AVERAGE(AH29:AH30)</f>
        <v>545.30072026956009</v>
      </c>
      <c r="AK31" s="36"/>
      <c r="AL31" s="36">
        <f t="shared" ref="AL31" si="15">AI31/AJ31</f>
        <v>182.46447580018807</v>
      </c>
    </row>
    <row r="32" spans="2:63" x14ac:dyDescent="0.25">
      <c r="AE32" s="425" t="s">
        <v>146</v>
      </c>
      <c r="AF32" s="425" t="s">
        <v>125</v>
      </c>
      <c r="AG32" s="60">
        <f>$AG$6*BI18</f>
        <v>74558.467731535507</v>
      </c>
      <c r="AH32" s="60">
        <f>$AH$6*BJ18</f>
        <v>388.65727699530515</v>
      </c>
      <c r="AI32" s="35"/>
      <c r="AJ32" s="35"/>
      <c r="AK32" s="36">
        <f>AG32/AH32</f>
        <v>191.83602660921269</v>
      </c>
      <c r="AL32" s="36"/>
      <c r="AR32" s="25" t="s">
        <v>160</v>
      </c>
      <c r="AS32" s="31" t="s">
        <v>160</v>
      </c>
      <c r="AT32" s="52"/>
      <c r="AU32" s="53"/>
      <c r="AV32" s="48" t="s">
        <v>160</v>
      </c>
      <c r="AW32" s="49" t="s">
        <v>160</v>
      </c>
      <c r="AX32" s="32" t="s">
        <v>160</v>
      </c>
      <c r="AY32" s="26" t="s">
        <v>160</v>
      </c>
      <c r="AZ32" s="32" t="s">
        <v>160</v>
      </c>
      <c r="BA32" s="26" t="s">
        <v>160</v>
      </c>
      <c r="BB32" s="32" t="s">
        <v>160</v>
      </c>
      <c r="BC32" s="26" t="s">
        <v>160</v>
      </c>
      <c r="BD32" s="32" t="s">
        <v>160</v>
      </c>
      <c r="BE32" s="26" t="s">
        <v>160</v>
      </c>
      <c r="BF32" s="32" t="s">
        <v>160</v>
      </c>
      <c r="BG32" s="26" t="s">
        <v>160</v>
      </c>
    </row>
    <row r="33" spans="25:62" x14ac:dyDescent="0.25">
      <c r="AE33" s="425"/>
      <c r="AF33" s="425" t="s">
        <v>126</v>
      </c>
      <c r="AG33" s="60">
        <f>$AG$6*BI19</f>
        <v>134718.67686997849</v>
      </c>
      <c r="AH33" s="60">
        <f>$AH$6*BJ19</f>
        <v>767.25555555555559</v>
      </c>
      <c r="AK33" s="36">
        <f>AG33/AH33</f>
        <v>175.58514356071515</v>
      </c>
      <c r="AL33" s="36"/>
      <c r="AR33" s="27" t="s">
        <v>80</v>
      </c>
      <c r="AS33" s="8" t="s">
        <v>81</v>
      </c>
      <c r="AT33" s="46"/>
      <c r="AU33" s="54"/>
      <c r="AV33" s="5" t="s">
        <v>121</v>
      </c>
      <c r="AW33" s="8" t="s">
        <v>122</v>
      </c>
      <c r="AX33" s="5" t="s">
        <v>86</v>
      </c>
      <c r="AY33" s="28" t="s">
        <v>87</v>
      </c>
      <c r="AZ33" s="5" t="s">
        <v>150</v>
      </c>
      <c r="BA33" s="28" t="s">
        <v>151</v>
      </c>
      <c r="BB33" s="5" t="s">
        <v>180</v>
      </c>
      <c r="BC33" s="28" t="s">
        <v>181</v>
      </c>
      <c r="BD33" s="5" t="s">
        <v>212</v>
      </c>
      <c r="BE33" s="28" t="s">
        <v>213</v>
      </c>
      <c r="BF33" s="5" t="s">
        <v>222</v>
      </c>
      <c r="BG33" s="28" t="s">
        <v>223</v>
      </c>
      <c r="BH33" s="16" t="s">
        <v>89</v>
      </c>
      <c r="BI33" s="23">
        <f>MIN(AR34,AT34,AV34,AX34,AZ34,BB34,BD34,BF34)</f>
        <v>1.7640143665233456</v>
      </c>
      <c r="BJ33" s="23">
        <f>MIN(AS34,AU34,AW34,AY34,BA34,BC34,BE34,BG34)</f>
        <v>1.746065057712487</v>
      </c>
    </row>
    <row r="34" spans="25:62" x14ac:dyDescent="0.25">
      <c r="AE34" s="35"/>
      <c r="AF34" s="35"/>
      <c r="AI34" s="3">
        <f>AVERAGE(AG32:AG33)</f>
        <v>104638.57230075699</v>
      </c>
      <c r="AJ34" s="3">
        <f>AVERAGE(AH32:AH33)</f>
        <v>577.95641627543034</v>
      </c>
      <c r="AK34" s="36"/>
      <c r="AL34" s="36">
        <f t="shared" ref="AL34" si="16">AI34/AJ34</f>
        <v>181.04924411963017</v>
      </c>
      <c r="AR34" s="27">
        <f>C24/C9</f>
        <v>2.7621726994816358</v>
      </c>
      <c r="AS34" s="8">
        <f>D24/D9</f>
        <v>3.0173913043478264</v>
      </c>
      <c r="AT34" s="46"/>
      <c r="AU34" s="54"/>
      <c r="AV34" s="19">
        <f>S24/S9</f>
        <v>2.6177472831092281</v>
      </c>
      <c r="AW34" s="20">
        <f>T24/T9</f>
        <v>2.7591240875912408</v>
      </c>
      <c r="AX34" s="19">
        <f t="shared" ref="AX34:BG34" si="17">W24/W9</f>
        <v>2.3011387913578183</v>
      </c>
      <c r="AY34" s="47">
        <f t="shared" si="17"/>
        <v>2.2312925170068025</v>
      </c>
      <c r="AZ34" s="19">
        <f t="shared" si="17"/>
        <v>2.4012432966036124</v>
      </c>
      <c r="BA34" s="47">
        <f t="shared" si="17"/>
        <v>2.2545454545454544</v>
      </c>
      <c r="BB34" s="19">
        <f t="shared" si="17"/>
        <v>1.7640143665233456</v>
      </c>
      <c r="BC34" s="47">
        <f t="shared" si="17"/>
        <v>1.746065057712487</v>
      </c>
      <c r="BD34" s="19">
        <f t="shared" si="17"/>
        <v>2.5784561166424877</v>
      </c>
      <c r="BE34" s="47">
        <f t="shared" si="17"/>
        <v>2.5398773006134969</v>
      </c>
      <c r="BF34" s="19">
        <f t="shared" si="17"/>
        <v>1.8806879981817886</v>
      </c>
      <c r="BG34" s="47">
        <f t="shared" si="17"/>
        <v>1.9133858267716535</v>
      </c>
      <c r="BH34" t="s">
        <v>90</v>
      </c>
      <c r="BI34" s="24">
        <f>MAX(AR34,AT34,AV34,AX34,AZ34,BB34,BD34,BF34)</f>
        <v>2.7621726994816358</v>
      </c>
      <c r="BJ34" s="24">
        <f>MAX(AS34,AU34,AW34,AY34,BA34,BC34,BE34,BG34)</f>
        <v>3.0173913043478264</v>
      </c>
    </row>
    <row r="35" spans="25:62" ht="15.75" thickBot="1" x14ac:dyDescent="0.3">
      <c r="AE35" s="35" t="s">
        <v>158</v>
      </c>
      <c r="AF35" s="35" t="s">
        <v>125</v>
      </c>
      <c r="AG35" s="60">
        <f>$AG$7*BI23</f>
        <v>77971.719037020783</v>
      </c>
      <c r="AH35" s="60">
        <f>$AH$7*BJ23</f>
        <v>407.12906846240179</v>
      </c>
      <c r="AK35" s="36">
        <f>AG35/AH35</f>
        <v>191.51597141293644</v>
      </c>
      <c r="AL35" s="36"/>
      <c r="AR35" s="29"/>
      <c r="AS35" s="33">
        <f>AR34-AS34</f>
        <v>-0.25521860486619063</v>
      </c>
      <c r="AT35" s="55"/>
      <c r="AU35" s="56"/>
      <c r="AV35" s="50"/>
      <c r="AW35" s="51">
        <f>AV34-AW34</f>
        <v>-0.14137680448201273</v>
      </c>
      <c r="AX35" s="34"/>
      <c r="AY35" s="30">
        <f>AX34-AY34</f>
        <v>6.9846274351015758E-2</v>
      </c>
      <c r="AZ35" s="34"/>
      <c r="BA35" s="30">
        <f>AZ34-BA34</f>
        <v>0.14669784205815795</v>
      </c>
      <c r="BB35" s="34"/>
      <c r="BC35" s="30">
        <f>BB34-BC34</f>
        <v>1.7949308810858655E-2</v>
      </c>
      <c r="BD35" s="34"/>
      <c r="BE35" s="30">
        <f>BD34-BE34</f>
        <v>3.8578816028990826E-2</v>
      </c>
      <c r="BF35" s="34"/>
      <c r="BG35" s="30">
        <f>BF34-BG34</f>
        <v>-3.2697828589864919E-2</v>
      </c>
    </row>
    <row r="36" spans="25:62" ht="15.75" thickBot="1" x14ac:dyDescent="0.3">
      <c r="AE36" s="35"/>
      <c r="AF36" s="35" t="s">
        <v>126</v>
      </c>
      <c r="AG36" s="60">
        <f>$AG$7*BI24</f>
        <v>137353.15740691702</v>
      </c>
      <c r="AH36" s="60">
        <f>$AH$7*BJ24</f>
        <v>796.27368421052631</v>
      </c>
      <c r="AK36" s="36">
        <f>AG36/AH36</f>
        <v>172.49490989156223</v>
      </c>
      <c r="AL36" s="36"/>
    </row>
    <row r="37" spans="25:62" x14ac:dyDescent="0.25">
      <c r="AE37" s="35"/>
      <c r="AF37" s="35"/>
      <c r="AI37" s="3">
        <f>AVERAGE(AG35:AG36)</f>
        <v>107662.4382219689</v>
      </c>
      <c r="AJ37" s="3">
        <f>AVERAGE(AH35:AH36)</f>
        <v>601.70137633646402</v>
      </c>
      <c r="AK37" s="36"/>
      <c r="AL37" s="36">
        <f t="shared" ref="AL37" si="18">AI37/AJ37</f>
        <v>178.93001820518586</v>
      </c>
      <c r="AR37" s="25" t="s">
        <v>163</v>
      </c>
      <c r="AS37" s="31" t="s">
        <v>163</v>
      </c>
      <c r="AT37" s="52"/>
      <c r="AU37" s="53"/>
      <c r="AV37" s="48" t="s">
        <v>163</v>
      </c>
      <c r="AW37" s="49" t="s">
        <v>163</v>
      </c>
      <c r="AX37" s="32" t="s">
        <v>163</v>
      </c>
      <c r="AY37" s="26" t="s">
        <v>163</v>
      </c>
      <c r="AZ37" s="32" t="s">
        <v>163</v>
      </c>
      <c r="BA37" s="26" t="s">
        <v>163</v>
      </c>
      <c r="BB37" s="32" t="s">
        <v>163</v>
      </c>
      <c r="BC37" s="26" t="s">
        <v>163</v>
      </c>
      <c r="BD37" s="32" t="s">
        <v>163</v>
      </c>
      <c r="BE37" s="26" t="s">
        <v>163</v>
      </c>
      <c r="BF37" s="32" t="s">
        <v>163</v>
      </c>
      <c r="BG37" s="26" t="s">
        <v>163</v>
      </c>
    </row>
    <row r="38" spans="25:62" x14ac:dyDescent="0.25">
      <c r="AE38" s="35" t="s">
        <v>159</v>
      </c>
      <c r="AF38" s="35" t="s">
        <v>125</v>
      </c>
      <c r="AG38" s="60">
        <f>$AG$8*BI28</f>
        <v>80822.564285387823</v>
      </c>
      <c r="AH38" s="60">
        <f>$AH$8*BJ28</f>
        <v>425.96949891067538</v>
      </c>
      <c r="AK38" s="36">
        <f>AG38/AH38</f>
        <v>189.73791431563529</v>
      </c>
      <c r="AL38" s="36"/>
      <c r="AR38" s="27" t="s">
        <v>80</v>
      </c>
      <c r="AS38" s="8" t="s">
        <v>81</v>
      </c>
      <c r="AT38" s="46"/>
      <c r="AU38" s="54"/>
      <c r="AV38" s="5" t="s">
        <v>121</v>
      </c>
      <c r="AW38" s="8" t="s">
        <v>122</v>
      </c>
      <c r="AX38" s="5" t="s">
        <v>86</v>
      </c>
      <c r="AY38" s="28" t="s">
        <v>87</v>
      </c>
      <c r="AZ38" s="5" t="s">
        <v>150</v>
      </c>
      <c r="BA38" s="28" t="s">
        <v>151</v>
      </c>
      <c r="BB38" s="5" t="s">
        <v>180</v>
      </c>
      <c r="BC38" s="28" t="s">
        <v>181</v>
      </c>
      <c r="BD38" s="5" t="s">
        <v>212</v>
      </c>
      <c r="BE38" s="28" t="s">
        <v>213</v>
      </c>
      <c r="BF38" s="5" t="s">
        <v>222</v>
      </c>
      <c r="BG38" s="28" t="s">
        <v>223</v>
      </c>
      <c r="BH38" s="16" t="s">
        <v>89</v>
      </c>
      <c r="BI38" s="23">
        <f>MIN(AR39,AT39,AV39,AX39,AZ39,BB39,BD39,BF39)</f>
        <v>1.6238484151068928</v>
      </c>
      <c r="BJ38" s="23">
        <f>MIN(AS39,AU39,AW39,AY39,BA39,BC39,BE39,BG39)</f>
        <v>1.5938697318007662</v>
      </c>
    </row>
    <row r="39" spans="25:62" x14ac:dyDescent="0.25">
      <c r="AE39" s="35"/>
      <c r="AF39" s="35" t="s">
        <v>126</v>
      </c>
      <c r="AG39" s="60">
        <f>$AG$8*BI29</f>
        <v>130799.00674232208</v>
      </c>
      <c r="AH39" s="60">
        <f>$AH$8*BJ29</f>
        <v>734.63963963963965</v>
      </c>
      <c r="AK39" s="36">
        <f>AG39/AH39</f>
        <v>178.04512537123981</v>
      </c>
      <c r="AL39" s="36"/>
      <c r="AR39" s="27">
        <f>C24/C10</f>
        <v>2.5783705541770057</v>
      </c>
      <c r="AS39" s="8">
        <f>D24/D10</f>
        <v>2.7983870967741935</v>
      </c>
      <c r="AT39" s="46"/>
      <c r="AU39" s="54"/>
      <c r="AV39" s="19">
        <f>S24/S10</f>
        <v>2.4494922654869797</v>
      </c>
      <c r="AW39" s="20">
        <f>T24/T10</f>
        <v>2.5627118644067797</v>
      </c>
      <c r="AX39" s="19">
        <f t="shared" ref="AX39:BG39" si="19">W24/W10</f>
        <v>2.2126793019060038</v>
      </c>
      <c r="AY39" s="47">
        <f t="shared" si="19"/>
        <v>2.1298701298701297</v>
      </c>
      <c r="AZ39" s="19">
        <f t="shared" si="19"/>
        <v>2.2375506550978295</v>
      </c>
      <c r="BA39" s="47">
        <f t="shared" si="19"/>
        <v>2.1016949152542375</v>
      </c>
      <c r="BB39" s="19">
        <f t="shared" si="19"/>
        <v>1.6238484151068928</v>
      </c>
      <c r="BC39" s="47">
        <f t="shared" si="19"/>
        <v>1.5938697318007662</v>
      </c>
      <c r="BD39" s="19">
        <f t="shared" si="19"/>
        <v>2.366305755330079</v>
      </c>
      <c r="BE39" s="47">
        <f t="shared" si="19"/>
        <v>2.3356840620592383</v>
      </c>
      <c r="BF39" s="19">
        <f t="shared" si="19"/>
        <v>1.8285179894722721</v>
      </c>
      <c r="BG39" s="47">
        <f t="shared" si="19"/>
        <v>1.8585086042065009</v>
      </c>
      <c r="BH39" t="s">
        <v>90</v>
      </c>
      <c r="BI39" s="24">
        <f>MAX(AR39,AT39,AV39,AX39,AZ39,BB39,BD39,BF39)</f>
        <v>2.5783705541770057</v>
      </c>
      <c r="BJ39" s="24">
        <f>MAX(AS39,AU39,AW39,AY39,BA39,BC39,BE39,BG39)</f>
        <v>2.7983870967741935</v>
      </c>
    </row>
    <row r="40" spans="25:62" ht="15.75" thickBot="1" x14ac:dyDescent="0.3">
      <c r="AE40" s="35"/>
      <c r="AF40" s="35"/>
      <c r="AI40" s="3">
        <f>AVERAGE(AG38:AG39)</f>
        <v>105810.78551385495</v>
      </c>
      <c r="AJ40" s="3">
        <f>AVERAGE(AH38:AH39)</f>
        <v>580.30456927515752</v>
      </c>
      <c r="AK40" s="36"/>
      <c r="AL40" s="36">
        <f t="shared" ref="AL40" si="20">AI40/AJ40</f>
        <v>182.3366403025575</v>
      </c>
      <c r="AR40" s="29"/>
      <c r="AS40" s="33">
        <f>AR39-AS39</f>
        <v>-0.22001654259718784</v>
      </c>
      <c r="AT40" s="55"/>
      <c r="AU40" s="56"/>
      <c r="AV40" s="50"/>
      <c r="AW40" s="51">
        <f>AV39-AW39</f>
        <v>-0.11321959891979994</v>
      </c>
      <c r="AX40" s="34"/>
      <c r="AY40" s="30">
        <f>AX39-AY39</f>
        <v>8.2809172035874123E-2</v>
      </c>
      <c r="AZ40" s="34"/>
      <c r="BA40" s="30">
        <f>AZ39-BA39</f>
        <v>0.135855739843592</v>
      </c>
      <c r="BB40" s="34"/>
      <c r="BC40" s="30">
        <f>BB39-BC39</f>
        <v>2.997868330612663E-2</v>
      </c>
      <c r="BD40" s="34"/>
      <c r="BE40" s="30">
        <f>BD39-BE39</f>
        <v>3.0621693270840744E-2</v>
      </c>
      <c r="BF40" s="34"/>
      <c r="BG40" s="30">
        <f>BF39-BG39</f>
        <v>-2.9990614734228815E-2</v>
      </c>
    </row>
    <row r="41" spans="25:62" x14ac:dyDescent="0.25">
      <c r="AE41" s="35" t="s">
        <v>161</v>
      </c>
      <c r="AF41" s="35" t="s">
        <v>125</v>
      </c>
      <c r="AG41" s="60">
        <f>$AG$9*BI33</f>
        <v>80364.966510070575</v>
      </c>
      <c r="AH41" s="60">
        <f>$AH$9*BJ33</f>
        <v>420.80167890870939</v>
      </c>
      <c r="AK41" s="36">
        <f>AG41/AH41</f>
        <v>190.98062231711131</v>
      </c>
      <c r="AL41" s="36"/>
    </row>
    <row r="42" spans="25:62" x14ac:dyDescent="0.25">
      <c r="AE42" s="35"/>
      <c r="AF42" s="35" t="s">
        <v>126</v>
      </c>
      <c r="AG42" s="60">
        <f>$AG$9*BI34</f>
        <v>125839.06384298437</v>
      </c>
      <c r="AH42" s="60">
        <f>$AH$9*BJ34</f>
        <v>727.19130434782619</v>
      </c>
      <c r="AK42" s="36">
        <f>AG42/AH42</f>
        <v>173.04808664597797</v>
      </c>
      <c r="AL42" s="36"/>
    </row>
    <row r="43" spans="25:62" x14ac:dyDescent="0.25">
      <c r="AE43" s="35"/>
      <c r="AF43" s="35"/>
      <c r="AI43" s="3">
        <f>AVERAGE(AG41:AG42)</f>
        <v>103102.01517652746</v>
      </c>
      <c r="AJ43" s="3">
        <f>AVERAGE(AH41:AH42)</f>
        <v>573.99649162826779</v>
      </c>
      <c r="AK43" s="36"/>
      <c r="AL43" s="36">
        <f t="shared" ref="AL43" si="21">AI43/AJ43</f>
        <v>179.62133337096859</v>
      </c>
    </row>
    <row r="44" spans="25:62" x14ac:dyDescent="0.25">
      <c r="AE44" s="35" t="s">
        <v>162</v>
      </c>
      <c r="AF44" s="35" t="s">
        <v>125</v>
      </c>
      <c r="AG44" s="60">
        <f>$AG$10*BI38</f>
        <v>81223.273875231665</v>
      </c>
      <c r="AH44" s="60">
        <f>$AH$10*BJ38</f>
        <v>417.59386973180074</v>
      </c>
      <c r="AK44" s="36">
        <f>AG44/AH44</f>
        <v>194.50303216231893</v>
      </c>
      <c r="AL44" s="36"/>
    </row>
    <row r="45" spans="25:62" x14ac:dyDescent="0.25">
      <c r="AE45" s="35"/>
      <c r="AF45" s="35" t="s">
        <v>126</v>
      </c>
      <c r="AG45" s="60">
        <f>$AG$10*BI39</f>
        <v>128967.51674937965</v>
      </c>
      <c r="AH45" s="60">
        <f>$AH$10*BJ39</f>
        <v>733.17741935483866</v>
      </c>
      <c r="AK45" s="36">
        <f>AG45/AH45</f>
        <v>175.90219412767095</v>
      </c>
      <c r="AL45" s="36"/>
    </row>
    <row r="46" spans="25:62" x14ac:dyDescent="0.25">
      <c r="AE46" s="35"/>
      <c r="AF46" s="35"/>
      <c r="AI46" s="3">
        <f>AVERAGE(AG44:AG45)</f>
        <v>105095.39531230566</v>
      </c>
      <c r="AJ46" s="3">
        <f>AVERAGE(AH44:AH45)</f>
        <v>575.3856445433197</v>
      </c>
      <c r="AK46" s="36"/>
      <c r="AL46" s="36">
        <f t="shared" ref="AL46" si="22">AI46/AJ46</f>
        <v>182.65209830829073</v>
      </c>
    </row>
    <row r="47" spans="25:62" x14ac:dyDescent="0.25">
      <c r="Y47" s="35"/>
      <c r="Z47" s="35"/>
      <c r="AE47" s="35"/>
      <c r="AF47" s="35"/>
      <c r="AG47" s="35"/>
      <c r="AH47" s="35"/>
      <c r="AK47" s="36"/>
      <c r="AL47" s="36"/>
    </row>
    <row r="48" spans="25:62" x14ac:dyDescent="0.25">
      <c r="AK48" s="36"/>
      <c r="AL48" s="36"/>
    </row>
    <row r="49" spans="33:36" x14ac:dyDescent="0.25">
      <c r="AG49" s="3">
        <f>AVERAGE(AG26:AG45)</f>
        <v>103445.02803705189</v>
      </c>
      <c r="AH49" s="3">
        <f>AVERAGE(AH26:AH45)</f>
        <v>566.55959390444752</v>
      </c>
      <c r="AI49" s="3"/>
      <c r="AJ49" s="3"/>
    </row>
    <row r="50" spans="33:36" x14ac:dyDescent="0.25">
      <c r="AG50" s="21">
        <f>AG49/AH49</f>
        <v>182.58454918071388</v>
      </c>
      <c r="AI50" s="21"/>
      <c r="AJ50" s="21"/>
    </row>
    <row r="51" spans="33:36" x14ac:dyDescent="0.25">
      <c r="AI51" s="21"/>
      <c r="AJ51" s="21"/>
    </row>
    <row r="52" spans="33:36" x14ac:dyDescent="0.25">
      <c r="AI52" s="21"/>
      <c r="AJ52" s="21"/>
    </row>
  </sheetData>
  <phoneticPr fontId="5" type="noConversion"/>
  <conditionalFormatting sqref="AI3:AP2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4:BG14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9:BG9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9:BG19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24:BG24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29:BG29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26:AG45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4:BG3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9:BG39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28:AI46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28:AJ4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K26:AK4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L28:AL4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6:AH45">
    <cfRule type="colorScale" priority="9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Schleichender Verfall</vt:lpstr>
      <vt:lpstr>Vergleich</vt:lpstr>
      <vt:lpstr>'Schleichender Verfall'!Druckbereich</vt:lpstr>
      <vt:lpstr>'Schleichender Verfall'!Drucktitel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Gernot</dc:creator>
  <cp:lastModifiedBy>HdA-Zentrale</cp:lastModifiedBy>
  <cp:lastPrinted>2023-02-08T18:48:21Z</cp:lastPrinted>
  <dcterms:created xsi:type="dcterms:W3CDTF">2021-01-19T21:15:58Z</dcterms:created>
  <dcterms:modified xsi:type="dcterms:W3CDTF">2023-05-29T12:26:44Z</dcterms:modified>
</cp:coreProperties>
</file>